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<sst xmlns="http://schemas.openxmlformats.org/spreadsheetml/2006/main" count="171" uniqueCount="123">
  <si>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</si>
  <si>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</si>
  <si>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</si>
  <si>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</si>
  <si>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</si>
  <si>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</si>
  <si>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</si>
  <si>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</si>
  <si>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</si>
  <si>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</si>
  <si>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</si>
  <si>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</si>
  <si>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</si>
  <si>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</si>
  <si>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</si>
  <si>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</si>
  <si>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</si>
  <si>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</si>
  <si>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</si>
  <si>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</si>
  <si>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</si>
  <si>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</si>
  <si>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</si>
  <si>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</si>
  <si>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</si>
  <si>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</si>
  <si>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</si>
  <si>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</si>
  <si>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</si>
  <si>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</si>
  <si>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</si>
  <si>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</si>
  <si>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</si>
  <si>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</si>
  <si>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</si>
  <si>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</si>
  <si>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</si>
  <si>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</si>
  <si>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</si>
  <si>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</si>
  <si>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</si>
  <si>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</si>
  <si>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</si>
  <si>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</si>
  <si>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</si>
  <si>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</si>
  <si>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</si>
  <si>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</si>
  <si>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</si>
  <si>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</si>
  <si>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</si>
  <si>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</si>
  <si>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</si>
  <si>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</si>
  <si>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</si>
  <si>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</si>
  <si>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</si>
  <si>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</si>
  <si>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</si>
  <si>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</si>
  <si>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</si>
  <si>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</si>
  <si>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</si>
  <si>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</si>
  <si>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</si>
  <si>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</si>
  <si>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</si>
  <si>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</si>
  <si>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</si>
  <si>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</si>
  <si>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</si>
  <si>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</si>
  <si>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</si>
  <si>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</si>
  <si>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</si>
  <si>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</si>
  <si>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</si>
  <si>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</si>
  <si>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</si>
  <si>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</si>
  <si>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</si>
  <si>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</si>
  <si>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</si>
  <si>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</si>
  <si>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</si>
  <si>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</si>
  <si>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</si>
  <si>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</si>
  <si>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</si>
  <si>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</si>
  <si>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</si>
  <si>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</si>
  <si>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</si>
  <si>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</si>
  <si>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</si>
  <si>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</si>
  <si>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</si>
  <si>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</si>
  <si>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</si>
  <si>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</si>
  <si>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</si>
  <si>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</si>
  <si>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</si>
  <si>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</si>
  <si>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</si>
  <si>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</si>
  <si>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</si>
  <si>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</si>
  <si>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</si>
  <si>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</si>
  <si>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</si>
  <si>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</si>
  <si>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</si>
  <si>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</si>
  <si>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</si>
  <si>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</si>
  <si>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</si>
  <si>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</si>
  <si>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</si>
  <si>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</si>
  <si>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</si>
  <si>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</si>
  <si>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2015 рік станом на 06.11.2015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</si>
</sst>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50609.1</c:v>
                </c:pt>
                <c:pt idx="1">
                  <c:v>41400</c:v>
                </c:pt>
                <c:pt idx="2">
                  <c:v>2575.1</c:v>
                </c:pt>
                <c:pt idx="3">
                  <c:v>6633.999999999998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39011.299999999996</c:v>
                </c:pt>
                <c:pt idx="1">
                  <c:v>33583.30000000001</c:v>
                </c:pt>
                <c:pt idx="2">
                  <c:v>1157.3000000000002</c:v>
                </c:pt>
                <c:pt idx="3">
                  <c:v>4270.699999999985</c:v>
                </c:pt>
              </c:numCache>
            </c:numRef>
          </c:val>
          <c:shape val="box"/>
        </c:ser>
        <c:shape val="box"/>
        <c:axId val="43476443"/>
        <c:axId val="40590072"/>
      </c:bar3DChart>
      <c:catAx>
        <c:axId val="43476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90072"/>
        <c:crosses val="autoZero"/>
        <c:auto val="1"/>
        <c:lblOffset val="100"/>
        <c:tickLblSkip val="1"/>
        <c:noMultiLvlLbl val="0"/>
      </c:catAx>
      <c:valAx>
        <c:axId val="40590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764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363188.99999999994</c:v>
                </c:pt>
                <c:pt idx="1">
                  <c:v>180427.5</c:v>
                </c:pt>
                <c:pt idx="2">
                  <c:v>275292.60000000003</c:v>
                </c:pt>
                <c:pt idx="3">
                  <c:v>45.2</c:v>
                </c:pt>
                <c:pt idx="4">
                  <c:v>22109.6</c:v>
                </c:pt>
                <c:pt idx="5">
                  <c:v>61449.7</c:v>
                </c:pt>
                <c:pt idx="6">
                  <c:v>274.7</c:v>
                </c:pt>
                <c:pt idx="7">
                  <c:v>4017.1999999999216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279536.60000000003</c:v>
                </c:pt>
                <c:pt idx="1">
                  <c:v>141299.00000000003</c:v>
                </c:pt>
                <c:pt idx="2">
                  <c:v>221399.99999999994</c:v>
                </c:pt>
                <c:pt idx="3">
                  <c:v>27.3</c:v>
                </c:pt>
                <c:pt idx="4">
                  <c:v>15585.6</c:v>
                </c:pt>
                <c:pt idx="5">
                  <c:v>39401.70000000002</c:v>
                </c:pt>
                <c:pt idx="6">
                  <c:v>214.39999999999998</c:v>
                </c:pt>
                <c:pt idx="7">
                  <c:v>2907.6000000000727</c:v>
                </c:pt>
              </c:numCache>
            </c:numRef>
          </c:val>
          <c:shape val="box"/>
        </c:ser>
        <c:shape val="box"/>
        <c:axId val="47085145"/>
        <c:axId val="49263950"/>
      </c:bar3DChart>
      <c:catAx>
        <c:axId val="47085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263950"/>
        <c:crosses val="autoZero"/>
        <c:auto val="1"/>
        <c:lblOffset val="100"/>
        <c:tickLblSkip val="1"/>
        <c:noMultiLvlLbl val="0"/>
      </c:catAx>
      <c:valAx>
        <c:axId val="49263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851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13169.4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10393.400000000007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191526.69999999995</c:v>
                </c:pt>
                <c:pt idx="1">
                  <c:v>166807.19999999995</c:v>
                </c:pt>
                <c:pt idx="2">
                  <c:v>154767.7</c:v>
                </c:pt>
                <c:pt idx="3">
                  <c:v>9441.5</c:v>
                </c:pt>
                <c:pt idx="4">
                  <c:v>2761.399999999999</c:v>
                </c:pt>
                <c:pt idx="5">
                  <c:v>15419.3</c:v>
                </c:pt>
                <c:pt idx="6">
                  <c:v>1129.3999999999996</c:v>
                </c:pt>
                <c:pt idx="7">
                  <c:v>8007.399999999945</c:v>
                </c:pt>
              </c:numCache>
            </c:numRef>
          </c:val>
          <c:shape val="box"/>
        </c:ser>
        <c:shape val="box"/>
        <c:axId val="27909991"/>
        <c:axId val="49238900"/>
      </c:bar3DChart>
      <c:catAx>
        <c:axId val="27909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238900"/>
        <c:crosses val="autoZero"/>
        <c:auto val="1"/>
        <c:lblOffset val="100"/>
        <c:tickLblSkip val="1"/>
        <c:noMultiLvlLbl val="0"/>
      </c:catAx>
      <c:valAx>
        <c:axId val="49238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099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44932.799999999996</c:v>
                </c:pt>
                <c:pt idx="1">
                  <c:v>32171</c:v>
                </c:pt>
                <c:pt idx="2">
                  <c:v>2674</c:v>
                </c:pt>
                <c:pt idx="3">
                  <c:v>652.5</c:v>
                </c:pt>
                <c:pt idx="4">
                  <c:v>74.6</c:v>
                </c:pt>
                <c:pt idx="5">
                  <c:v>9360.699999999995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35954.599999999984</c:v>
                </c:pt>
                <c:pt idx="1">
                  <c:v>26092.800000000003</c:v>
                </c:pt>
                <c:pt idx="2">
                  <c:v>1308.3000000000002</c:v>
                </c:pt>
                <c:pt idx="3">
                  <c:v>593.1</c:v>
                </c:pt>
                <c:pt idx="4">
                  <c:v>67.8</c:v>
                </c:pt>
                <c:pt idx="5">
                  <c:v>7892.599999999981</c:v>
                </c:pt>
              </c:numCache>
            </c:numRef>
          </c:val>
          <c:shape val="box"/>
        </c:ser>
        <c:shape val="box"/>
        <c:axId val="27383941"/>
        <c:axId val="38191850"/>
      </c:bar3DChart>
      <c:catAx>
        <c:axId val="27383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91850"/>
        <c:crosses val="autoZero"/>
        <c:auto val="1"/>
        <c:lblOffset val="100"/>
        <c:tickLblSkip val="1"/>
        <c:noMultiLvlLbl val="0"/>
      </c:catAx>
      <c:valAx>
        <c:axId val="381918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839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15058.300000000001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710.7</c:v>
                </c:pt>
                <c:pt idx="5">
                  <c:v>4636.500000000002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11302.700000000003</c:v>
                </c:pt>
                <c:pt idx="1">
                  <c:v>7493.300000000001</c:v>
                </c:pt>
                <c:pt idx="2">
                  <c:v>4</c:v>
                </c:pt>
                <c:pt idx="3">
                  <c:v>179.60000000000002</c:v>
                </c:pt>
                <c:pt idx="4">
                  <c:v>435.50000000000006</c:v>
                </c:pt>
                <c:pt idx="5">
                  <c:v>3190.3000000000015</c:v>
                </c:pt>
              </c:numCache>
            </c:numRef>
          </c:val>
          <c:shape val="box"/>
        </c:ser>
        <c:shape val="box"/>
        <c:axId val="63831347"/>
        <c:axId val="65389872"/>
      </c:bar3DChart>
      <c:catAx>
        <c:axId val="63831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89872"/>
        <c:crosses val="autoZero"/>
        <c:auto val="1"/>
        <c:lblOffset val="100"/>
        <c:tickLblSkip val="2"/>
        <c:noMultiLvlLbl val="0"/>
      </c:catAx>
      <c:valAx>
        <c:axId val="65389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313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4788.9</c:v>
                </c:pt>
                <c:pt idx="1">
                  <c:v>1243.0999999999997</c:v>
                </c:pt>
                <c:pt idx="2">
                  <c:v>296.3</c:v>
                </c:pt>
                <c:pt idx="3">
                  <c:v>246.20000000000005</c:v>
                </c:pt>
                <c:pt idx="4">
                  <c:v>2871.6</c:v>
                </c:pt>
                <c:pt idx="5">
                  <c:v>131.70000000000044</c:v>
                </c:pt>
              </c:numCache>
            </c:numRef>
          </c:val>
          <c:shape val="box"/>
        </c:ser>
        <c:shape val="box"/>
        <c:axId val="31010033"/>
        <c:axId val="47230918"/>
      </c:bar3DChart>
      <c:catAx>
        <c:axId val="31010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30918"/>
        <c:crosses val="autoZero"/>
        <c:auto val="1"/>
        <c:lblOffset val="100"/>
        <c:tickLblSkip val="1"/>
        <c:noMultiLvlLbl val="0"/>
      </c:catAx>
      <c:valAx>
        <c:axId val="472309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100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49553.20000000002</c:v>
                </c:pt>
              </c:numCache>
            </c:numRef>
          </c:val>
          <c:shape val="box"/>
        </c:ser>
        <c:shape val="box"/>
        <c:axId val="52325183"/>
        <c:axId val="25087020"/>
      </c:bar3DChart>
      <c:catAx>
        <c:axId val="52325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087020"/>
        <c:crosses val="autoZero"/>
        <c:auto val="1"/>
        <c:lblOffset val="100"/>
        <c:tickLblSkip val="1"/>
        <c:noMultiLvlLbl val="0"/>
      </c:catAx>
      <c:valAx>
        <c:axId val="25087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251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363188.99999999994</c:v>
                </c:pt>
                <c:pt idx="1">
                  <c:v>244842.30000000002</c:v>
                </c:pt>
                <c:pt idx="2">
                  <c:v>44932.799999999996</c:v>
                </c:pt>
                <c:pt idx="3">
                  <c:v>15058.300000000001</c:v>
                </c:pt>
                <c:pt idx="4">
                  <c:v>5627</c:v>
                </c:pt>
                <c:pt idx="5">
                  <c:v>50609.1</c:v>
                </c:pt>
                <c:pt idx="6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279536.60000000003</c:v>
                </c:pt>
                <c:pt idx="1">
                  <c:v>191526.69999999995</c:v>
                </c:pt>
                <c:pt idx="2">
                  <c:v>35954.599999999984</c:v>
                </c:pt>
                <c:pt idx="3">
                  <c:v>11302.700000000003</c:v>
                </c:pt>
                <c:pt idx="4">
                  <c:v>4788.9</c:v>
                </c:pt>
                <c:pt idx="5">
                  <c:v>39011.299999999996</c:v>
                </c:pt>
                <c:pt idx="6">
                  <c:v>49553.20000000002</c:v>
                </c:pt>
              </c:numCache>
            </c:numRef>
          </c:val>
          <c:shape val="box"/>
        </c:ser>
        <c:shape val="box"/>
        <c:axId val="57065373"/>
        <c:axId val="57522146"/>
      </c:bar3DChart>
      <c:catAx>
        <c:axId val="57065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522146"/>
        <c:crosses val="autoZero"/>
        <c:auto val="1"/>
        <c:lblOffset val="100"/>
        <c:tickLblSkip val="1"/>
        <c:noMultiLvlLbl val="0"/>
      </c:catAx>
      <c:valAx>
        <c:axId val="57522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653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558420.6</c:v>
                </c:pt>
                <c:pt idx="1">
                  <c:v>99878</c:v>
                </c:pt>
                <c:pt idx="2">
                  <c:v>25986.7</c:v>
                </c:pt>
                <c:pt idx="3">
                  <c:v>14991.800000000001</c:v>
                </c:pt>
                <c:pt idx="4">
                  <c:v>13384.7</c:v>
                </c:pt>
                <c:pt idx="5">
                  <c:v>273789.8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450710.0999999999</c:v>
                </c:pt>
                <c:pt idx="1">
                  <c:v>62304.30000000001</c:v>
                </c:pt>
                <c:pt idx="2">
                  <c:v>18862.6</c:v>
                </c:pt>
                <c:pt idx="3">
                  <c:v>10433.999999999998</c:v>
                </c:pt>
                <c:pt idx="4">
                  <c:v>9543.8</c:v>
                </c:pt>
                <c:pt idx="5">
                  <c:v>233074.107</c:v>
                </c:pt>
              </c:numCache>
            </c:numRef>
          </c:val>
          <c:shape val="box"/>
        </c:ser>
        <c:shape val="box"/>
        <c:axId val="5515"/>
        <c:axId val="115816"/>
      </c:bar3DChart>
      <c:catAx>
        <c:axId val="5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5816"/>
        <c:crosses val="autoZero"/>
        <c:auto val="1"/>
        <c:lblOffset val="100"/>
        <c:tickLblSkip val="1"/>
        <c:noMultiLvlLbl val="0"/>
      </c:catAx>
      <c:valAx>
        <c:axId val="115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102</v>
      </c>
      <c r="D3" s="136" t="s">
        <v>28</v>
      </c>
      <c r="E3" s="136" t="s">
        <v>27</v>
      </c>
      <c r="F3" s="136" t="s">
        <v>120</v>
      </c>
      <c r="G3" s="136" t="s">
        <v>103</v>
      </c>
      <c r="H3" s="136" t="s">
        <v>121</v>
      </c>
      <c r="I3" s="136" t="s">
        <v>104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>
        <v>332705.9</v>
      </c>
      <c r="C6" s="53">
        <f>336144.8+1363.8+2002.1+1+23261.5+164+251.8</f>
        <v>363188.99999999994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+5700.4+4276.1+720.8+515.2+0.2+261.1+82.1+14372.6+1381+458.9+21.7+9.4-0.1+756.8+4.1+93.2</f>
        <v>279633.9</v>
      </c>
      <c r="E6" s="3">
        <f>D6/D149*100</f>
        <v>35.52271609553206</v>
      </c>
      <c r="F6" s="3">
        <f>D6/B6*100</f>
        <v>84.04837425485992</v>
      </c>
      <c r="G6" s="3">
        <f aca="true" t="shared" si="0" ref="G6:G43">D6/C6*100</f>
        <v>76.99404442315159</v>
      </c>
      <c r="H6" s="3">
        <f>B6-D6</f>
        <v>53072</v>
      </c>
      <c r="I6" s="3">
        <f aca="true" t="shared" si="1" ref="I6:I43">C6-D6</f>
        <v>83555.09999999992</v>
      </c>
    </row>
    <row r="7" spans="1:9" s="44" customFormat="1" ht="18.75">
      <c r="A7" s="116" t="s">
        <v>105</v>
      </c>
      <c r="B7" s="109">
        <v>164966.9</v>
      </c>
      <c r="C7" s="106">
        <f>173936.4+6491.1</f>
        <v>180427.5</v>
      </c>
      <c r="D7" s="117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+217.5+0.2+7923.1+560.7+187.1+16.6+9.4+152+4.1</f>
        <v>141303.10000000003</v>
      </c>
      <c r="E7" s="107">
        <f>D7/D6*100</f>
        <v>50.531462744681534</v>
      </c>
      <c r="F7" s="107">
        <f>D7/B7*100</f>
        <v>85.65542542170583</v>
      </c>
      <c r="G7" s="107">
        <f>D7/C7*100</f>
        <v>78.31572238156602</v>
      </c>
      <c r="H7" s="107">
        <f>B7-D7</f>
        <v>23663.79999999996</v>
      </c>
      <c r="I7" s="107">
        <f t="shared" si="1"/>
        <v>39124.399999999965</v>
      </c>
    </row>
    <row r="8" spans="1:9" ht="18">
      <c r="A8" s="29" t="s">
        <v>3</v>
      </c>
      <c r="B8" s="49">
        <v>251185.2</v>
      </c>
      <c r="C8" s="50">
        <f>251964.7+23254.2+21.4+203.6-151.3</f>
        <v>275292.60000000003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+13882+808.9</f>
        <v>221399.99999999994</v>
      </c>
      <c r="E8" s="1">
        <f>D8/D6*100</f>
        <v>79.17494981831598</v>
      </c>
      <c r="F8" s="1">
        <f>D8/B8*100</f>
        <v>88.14213576277581</v>
      </c>
      <c r="G8" s="1">
        <f t="shared" si="0"/>
        <v>80.42352028350922</v>
      </c>
      <c r="H8" s="1">
        <f>B8-D8</f>
        <v>29785.20000000007</v>
      </c>
      <c r="I8" s="1">
        <f t="shared" si="1"/>
        <v>53892.60000000009</v>
      </c>
    </row>
    <row r="9" spans="1:9" ht="18">
      <c r="A9" s="29" t="s">
        <v>2</v>
      </c>
      <c r="B9" s="49">
        <v>45.2</v>
      </c>
      <c r="C9" s="50">
        <v>45.2</v>
      </c>
      <c r="D9" s="51">
        <f>0.3+0.2+0.7+0.8+2+0.3+3.5+1.2+0.3+0.4+1.4+0.8+0.2+2.9+0.6+1.3+0.5+0.8+1.6+2.2+0.2+4.7+0.4</f>
        <v>27.3</v>
      </c>
      <c r="E9" s="12">
        <f>D9/D6*100</f>
        <v>0.009762764814995606</v>
      </c>
      <c r="F9" s="134">
        <f>D9/B9*100</f>
        <v>60.39823008849557</v>
      </c>
      <c r="G9" s="1">
        <f t="shared" si="0"/>
        <v>60.39823008849557</v>
      </c>
      <c r="H9" s="1">
        <f aca="true" t="shared" si="2" ref="H9:H43">B9-D9</f>
        <v>17.900000000000002</v>
      </c>
      <c r="I9" s="1">
        <f t="shared" si="1"/>
        <v>17.900000000000002</v>
      </c>
    </row>
    <row r="10" spans="1:9" ht="18">
      <c r="A10" s="29" t="s">
        <v>1</v>
      </c>
      <c r="B10" s="49">
        <v>19818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+261.1+10.2+76.1+350.2+386.3+14.4+0.4+112.7+93.2</f>
        <v>15678.800000000001</v>
      </c>
      <c r="E10" s="1">
        <f>D10/D6*100</f>
        <v>5.606902453529418</v>
      </c>
      <c r="F10" s="1">
        <f aca="true" t="shared" si="3" ref="F10:F41">D10/B10*100</f>
        <v>79.11393682510848</v>
      </c>
      <c r="G10" s="1">
        <f t="shared" si="0"/>
        <v>70.91399211202375</v>
      </c>
      <c r="H10" s="1">
        <f t="shared" si="2"/>
        <v>4139.199999999999</v>
      </c>
      <c r="I10" s="1">
        <f t="shared" si="1"/>
        <v>6430.799999999997</v>
      </c>
    </row>
    <row r="11" spans="1:9" ht="18">
      <c r="A11" s="29" t="s">
        <v>0</v>
      </c>
      <c r="B11" s="49">
        <v>57444.3</v>
      </c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+21.7+339.5+205.5+0.3+3.3+9.4-0.2+622.3</f>
        <v>39401.70000000002</v>
      </c>
      <c r="E11" s="1">
        <f>D11/D6*100</f>
        <v>14.090458989414378</v>
      </c>
      <c r="F11" s="1">
        <f t="shared" si="3"/>
        <v>68.59113959087327</v>
      </c>
      <c r="G11" s="1">
        <f t="shared" si="0"/>
        <v>64.12024794262628</v>
      </c>
      <c r="H11" s="1">
        <f t="shared" si="2"/>
        <v>18042.599999999984</v>
      </c>
      <c r="I11" s="1">
        <f t="shared" si="1"/>
        <v>22047.999999999978</v>
      </c>
    </row>
    <row r="12" spans="1:9" ht="18">
      <c r="A12" s="29" t="s">
        <v>15</v>
      </c>
      <c r="B12" s="49">
        <v>270.7</v>
      </c>
      <c r="C12" s="50">
        <f>286.2+9.9-21.4</f>
        <v>274.7</v>
      </c>
      <c r="D12" s="51">
        <f>3.8+3.8+12.7+7.4+5+16.3+3.8+110.9+3.8+1.2+5.4+9.9+1.2+1.2+9.1+1.2-0.1+1.2+16.3+0.3</f>
        <v>214.39999999999998</v>
      </c>
      <c r="E12" s="1">
        <f>D12/D6*100</f>
        <v>0.07667167678882995</v>
      </c>
      <c r="F12" s="1">
        <f t="shared" si="3"/>
        <v>79.20206871074991</v>
      </c>
      <c r="G12" s="1">
        <f t="shared" si="0"/>
        <v>78.04878048780488</v>
      </c>
      <c r="H12" s="1">
        <f t="shared" si="2"/>
        <v>56.30000000000001</v>
      </c>
      <c r="I12" s="1">
        <f t="shared" si="1"/>
        <v>60.30000000000001</v>
      </c>
    </row>
    <row r="13" spans="1:9" ht="18.75" thickBot="1">
      <c r="A13" s="29" t="s">
        <v>34</v>
      </c>
      <c r="B13" s="50">
        <f>B6-B8-B9-B10-B11-B12</f>
        <v>3942.500000000012</v>
      </c>
      <c r="C13" s="50">
        <f>C6-C8-C9-C10-C11-C12</f>
        <v>4017.1999999999216</v>
      </c>
      <c r="D13" s="50">
        <f>D6-D8-D9-D10-D11-D12</f>
        <v>2911.7000000000567</v>
      </c>
      <c r="E13" s="1">
        <f>D13/D6*100</f>
        <v>1.0412542971363832</v>
      </c>
      <c r="F13" s="1">
        <f t="shared" si="3"/>
        <v>73.85415345593019</v>
      </c>
      <c r="G13" s="1">
        <f t="shared" si="0"/>
        <v>72.48083242059428</v>
      </c>
      <c r="H13" s="1">
        <f t="shared" si="2"/>
        <v>1030.7999999999552</v>
      </c>
      <c r="I13" s="1">
        <f t="shared" si="1"/>
        <v>1105.499999999865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221359.6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+86+811.8+9230+2740.7+110.8-0.2+80.6</f>
        <v>191526.69999999995</v>
      </c>
      <c r="E18" s="3">
        <f>D18/D149*100</f>
        <v>24.33019955310904</v>
      </c>
      <c r="F18" s="3">
        <f>D18/B18*100</f>
        <v>86.52287951369624</v>
      </c>
      <c r="G18" s="3">
        <f t="shared" si="0"/>
        <v>78.22451430982308</v>
      </c>
      <c r="H18" s="3">
        <f>B18-D18</f>
        <v>29832.900000000052</v>
      </c>
      <c r="I18" s="3">
        <f t="shared" si="1"/>
        <v>53315.600000000064</v>
      </c>
    </row>
    <row r="19" spans="1:9" s="44" customFormat="1" ht="18.75">
      <c r="A19" s="116" t="s">
        <v>106</v>
      </c>
      <c r="B19" s="109">
        <v>183215.4</v>
      </c>
      <c r="C19" s="106">
        <f>186519.2+5845.3</f>
        <v>192364.5</v>
      </c>
      <c r="D19" s="117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+6332.3+3.3+1.5+627+786.4+9230+540.5+110.8+80.6</f>
        <v>166807.19999999995</v>
      </c>
      <c r="E19" s="107">
        <f>D19/D18*100</f>
        <v>87.09344441271112</v>
      </c>
      <c r="F19" s="107">
        <f t="shared" si="3"/>
        <v>91.04431177728507</v>
      </c>
      <c r="G19" s="107">
        <f t="shared" si="0"/>
        <v>86.71412864639782</v>
      </c>
      <c r="H19" s="107">
        <f t="shared" si="2"/>
        <v>16408.20000000004</v>
      </c>
      <c r="I19" s="107">
        <f t="shared" si="1"/>
        <v>25557.300000000047</v>
      </c>
    </row>
    <row r="20" spans="1:9" ht="18">
      <c r="A20" s="29" t="s">
        <v>5</v>
      </c>
      <c r="B20" s="49">
        <v>174470.7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+13.2+9223.7+2491.5</f>
        <v>154767.7</v>
      </c>
      <c r="E20" s="1">
        <f>D20/D18*100</f>
        <v>80.80737568182403</v>
      </c>
      <c r="F20" s="1">
        <f t="shared" si="3"/>
        <v>88.7069863306561</v>
      </c>
      <c r="G20" s="1">
        <f t="shared" si="0"/>
        <v>81.0832319144823</v>
      </c>
      <c r="H20" s="1">
        <f t="shared" si="2"/>
        <v>19703</v>
      </c>
      <c r="I20" s="1">
        <f t="shared" si="1"/>
        <v>36107.399999999994</v>
      </c>
    </row>
    <row r="21" spans="1:9" ht="18">
      <c r="A21" s="29" t="s">
        <v>2</v>
      </c>
      <c r="B21" s="49">
        <v>12106.8</v>
      </c>
      <c r="C21" s="50">
        <f>12491.1+200.3+305.9+172.1</f>
        <v>13169.4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+86+245+171.9+21.9+0.1+80.3</f>
        <v>9441.5</v>
      </c>
      <c r="E21" s="1">
        <f>D21/D18*100</f>
        <v>4.929599893905133</v>
      </c>
      <c r="F21" s="1">
        <f t="shared" si="3"/>
        <v>77.98509928304755</v>
      </c>
      <c r="G21" s="1">
        <f t="shared" si="0"/>
        <v>71.69271189272101</v>
      </c>
      <c r="H21" s="1">
        <f t="shared" si="2"/>
        <v>2665.2999999999993</v>
      </c>
      <c r="I21" s="1">
        <f t="shared" si="1"/>
        <v>3727.8999999999996</v>
      </c>
    </row>
    <row r="22" spans="1:9" ht="18">
      <c r="A22" s="29" t="s">
        <v>1</v>
      </c>
      <c r="B22" s="49">
        <v>3002.4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173.9+19+7.6+19.5+89.8+0.1+92.4+48.6+202.1+56.1+96.9+242.1+36.1+19.2+171.7+0.1+22.2+39+81.6+82+84.2+0.1+30.3-30.3+115.9+98.3+38+4.5+18.6+10.9+19.7+48.1+4+8.7+43.6+162.2+10.7+30.1+34.4+4.8+5.9+39.2+16.6+148.1+22.9+4.7+0.1+3.2+63.6+3.3+1.5+53.8+72+4.7+24.3+60.7</f>
        <v>2761.399999999999</v>
      </c>
      <c r="E22" s="1">
        <f>D22/D18*100</f>
        <v>1.4417833127182789</v>
      </c>
      <c r="F22" s="1">
        <f t="shared" si="3"/>
        <v>91.97308819610976</v>
      </c>
      <c r="G22" s="1">
        <f t="shared" si="0"/>
        <v>84.87996803245932</v>
      </c>
      <c r="H22" s="1">
        <f t="shared" si="2"/>
        <v>241.0000000000009</v>
      </c>
      <c r="I22" s="1">
        <f t="shared" si="1"/>
        <v>491.900000000001</v>
      </c>
    </row>
    <row r="23" spans="1:9" ht="18">
      <c r="A23" s="29" t="s">
        <v>0</v>
      </c>
      <c r="B23" s="49">
        <v>20601.3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+324.3+2.2</f>
        <v>15419.3</v>
      </c>
      <c r="E23" s="1">
        <f>D23/D18*100</f>
        <v>8.05073130795863</v>
      </c>
      <c r="F23" s="1">
        <f t="shared" si="3"/>
        <v>74.84624756690111</v>
      </c>
      <c r="G23" s="1">
        <f t="shared" si="0"/>
        <v>60.177574835109084</v>
      </c>
      <c r="H23" s="1">
        <f t="shared" si="2"/>
        <v>5182</v>
      </c>
      <c r="I23" s="1">
        <f t="shared" si="1"/>
        <v>10203.7</v>
      </c>
    </row>
    <row r="24" spans="1:9" ht="18">
      <c r="A24" s="29" t="s">
        <v>15</v>
      </c>
      <c r="B24" s="49">
        <v>1374.7</v>
      </c>
      <c r="C24" s="50">
        <v>1528.1</v>
      </c>
      <c r="D24" s="51">
        <f>111+58.1+166.1+55.7+24.9+10.1-0.1+89.8+44.2+0.1+106.9+106.7+78.8+27.8+48.4+56.6+13.9-0.2+32.5+28.8+69.2+0.1</f>
        <v>1129.3999999999996</v>
      </c>
      <c r="E24" s="1">
        <f>D24/D18*100</f>
        <v>0.5896827961845528</v>
      </c>
      <c r="F24" s="1">
        <f t="shared" si="3"/>
        <v>82.1561067869353</v>
      </c>
      <c r="G24" s="1">
        <f t="shared" si="0"/>
        <v>73.90877560369084</v>
      </c>
      <c r="H24" s="1">
        <f t="shared" si="2"/>
        <v>245.3000000000004</v>
      </c>
      <c r="I24" s="1">
        <f t="shared" si="1"/>
        <v>398.7000000000003</v>
      </c>
    </row>
    <row r="25" spans="1:9" ht="18.75" thickBot="1">
      <c r="A25" s="29" t="s">
        <v>34</v>
      </c>
      <c r="B25" s="50">
        <f>B18-B20-B21-B22-B23-B24</f>
        <v>9803.69999999999</v>
      </c>
      <c r="C25" s="50">
        <f>C18-C20-C21-C22-C23-C24</f>
        <v>10393.400000000007</v>
      </c>
      <c r="D25" s="50">
        <f>D18-D20-D21-D22-D23-D24</f>
        <v>8007.399999999945</v>
      </c>
      <c r="E25" s="1">
        <f>D25/D18*100</f>
        <v>4.180827007409383</v>
      </c>
      <c r="F25" s="1">
        <f t="shared" si="3"/>
        <v>81.67732590756503</v>
      </c>
      <c r="G25" s="1">
        <f t="shared" si="0"/>
        <v>77.04312352069525</v>
      </c>
      <c r="H25" s="1">
        <f t="shared" si="2"/>
        <v>1796.3000000000447</v>
      </c>
      <c r="I25" s="1">
        <f t="shared" si="1"/>
        <v>2386.000000000062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41209.3-7.3</f>
        <v>41202</v>
      </c>
      <c r="C33" s="53">
        <f>41831.7+164.1+250.5+5+2544.6+99.9-0.1+37.1</f>
        <v>44932.799999999996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+38.3+77.7+0.6+1449.2+0.7+18.1+1.6+2+7.3+299.5+212.5</f>
        <v>36167.099999999984</v>
      </c>
      <c r="E33" s="3">
        <f>D33/D149*100</f>
        <v>4.594412999635298</v>
      </c>
      <c r="F33" s="3">
        <f>D33/B33*100</f>
        <v>87.77996213776026</v>
      </c>
      <c r="G33" s="3">
        <f t="shared" si="0"/>
        <v>80.4915340241427</v>
      </c>
      <c r="H33" s="3">
        <f t="shared" si="2"/>
        <v>5034.900000000016</v>
      </c>
      <c r="I33" s="3">
        <f t="shared" si="1"/>
        <v>8765.700000000012</v>
      </c>
    </row>
    <row r="34" spans="1:9" ht="18">
      <c r="A34" s="29" t="s">
        <v>3</v>
      </c>
      <c r="B34" s="49">
        <v>29753.8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1216.2+1064.6-0.1+1185.2+1240.8+0.1+1202.8+1206.8+1191.1+1224.7+5.8+1196.2+1414.6+52.8+4003.5+27.3+1811.7+0.1+103.5+404.5+5.7+308.6+119.4+352.5+1116.3+2.5+53.9+1234.5+1590.9-0.1+1357.7+21.1+1376.1+1.5</f>
        <v>26092.800000000003</v>
      </c>
      <c r="E34" s="1">
        <f>D34/D33*100</f>
        <v>72.1451263717578</v>
      </c>
      <c r="F34" s="1">
        <f t="shared" si="3"/>
        <v>87.6956892901075</v>
      </c>
      <c r="G34" s="1">
        <f t="shared" si="0"/>
        <v>81.10658667744242</v>
      </c>
      <c r="H34" s="1">
        <f t="shared" si="2"/>
        <v>3660.9999999999964</v>
      </c>
      <c r="I34" s="1">
        <f t="shared" si="1"/>
        <v>6078.199999999997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2222.6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+7.9+4.6+0.1+0.2+1.6+23.7</f>
        <v>1332.0000000000002</v>
      </c>
      <c r="E36" s="1">
        <f>D36/D33*100</f>
        <v>3.682905181781235</v>
      </c>
      <c r="F36" s="1">
        <f t="shared" si="3"/>
        <v>59.92981193197158</v>
      </c>
      <c r="G36" s="1">
        <f t="shared" si="0"/>
        <v>49.813014210919974</v>
      </c>
      <c r="H36" s="1">
        <f t="shared" si="2"/>
        <v>890.5999999999997</v>
      </c>
      <c r="I36" s="1">
        <f t="shared" si="1"/>
        <v>1341.9999999999998</v>
      </c>
    </row>
    <row r="37" spans="1:9" s="44" customFormat="1" ht="18.75">
      <c r="A37" s="23" t="s">
        <v>7</v>
      </c>
      <c r="B37" s="58">
        <v>624.4</v>
      </c>
      <c r="C37" s="59">
        <f>493.5+22+99.9+37.1</f>
        <v>652.5</v>
      </c>
      <c r="D37" s="60">
        <f>19+12.3+0.1+11.9+3.2+10.7+22.4+14.8+37.3+30.8+8.3+7.2+2+25.1+13.4+51+75.3+5+2.8+24.5+38+3.4+3+54.3+34.4+35.4+45.5+2</f>
        <v>593.1</v>
      </c>
      <c r="E37" s="19">
        <f>D37/D33*100</f>
        <v>1.6398881856715088</v>
      </c>
      <c r="F37" s="19">
        <f t="shared" si="3"/>
        <v>94.9871877001922</v>
      </c>
      <c r="G37" s="19">
        <f t="shared" si="0"/>
        <v>90.89655172413794</v>
      </c>
      <c r="H37" s="19">
        <f t="shared" si="2"/>
        <v>31.299999999999955</v>
      </c>
      <c r="I37" s="19">
        <f t="shared" si="1"/>
        <v>59.39999999999998</v>
      </c>
    </row>
    <row r="38" spans="1:9" ht="18">
      <c r="A38" s="29" t="s">
        <v>15</v>
      </c>
      <c r="B38" s="49">
        <v>71.2</v>
      </c>
      <c r="C38" s="50">
        <f>47.2+27.4</f>
        <v>74.6</v>
      </c>
      <c r="D38" s="50">
        <f>3.4+3.4+3.4+3.4+3.4+50.8</f>
        <v>67.8</v>
      </c>
      <c r="E38" s="1">
        <f>D38/D33*100</f>
        <v>0.187463191685261</v>
      </c>
      <c r="F38" s="1">
        <f t="shared" si="3"/>
        <v>95.22471910112358</v>
      </c>
      <c r="G38" s="1">
        <f t="shared" si="0"/>
        <v>90.88471849865952</v>
      </c>
      <c r="H38" s="1">
        <f t="shared" si="2"/>
        <v>3.4000000000000057</v>
      </c>
      <c r="I38" s="1">
        <f t="shared" si="1"/>
        <v>6.799999999999997</v>
      </c>
    </row>
    <row r="39" spans="1:9" ht="18.75" thickBot="1">
      <c r="A39" s="29" t="s">
        <v>34</v>
      </c>
      <c r="B39" s="49">
        <f>B33-B34-B36-B37-B35-B38</f>
        <v>8530</v>
      </c>
      <c r="C39" s="49">
        <f>C33-C34-C36-C37-C35-C38</f>
        <v>9360.699999999995</v>
      </c>
      <c r="D39" s="49">
        <f>D33-D34-D36-D37-D35-D38</f>
        <v>8081.3999999999805</v>
      </c>
      <c r="E39" s="1">
        <f>D39/D33*100</f>
        <v>22.344617069104196</v>
      </c>
      <c r="F39" s="1">
        <f t="shared" si="3"/>
        <v>94.74091441969496</v>
      </c>
      <c r="G39" s="1">
        <f t="shared" si="0"/>
        <v>86.33328704049894</v>
      </c>
      <c r="H39" s="1">
        <f>B39-D39</f>
        <v>448.60000000001946</v>
      </c>
      <c r="I39" s="1">
        <f t="shared" si="1"/>
        <v>1279.3000000000147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756.6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17.7+12.2+11.2+51.1+0.8+30+0.1+18.9+27.3+43.7+9+5.4+5.6+7.8+24.4+6.4-0.1+26.1+70.2+6+6+27.3+26.1+5.1+3+1+25.2+2+11+3.6+29+1+5+4.7+31.3+9.4+0.5+9.7+28.7+7.4+0.1</f>
        <v>610.9000000000001</v>
      </c>
      <c r="E43" s="3">
        <f>D43/D149*100</f>
        <v>0.07760442229200586</v>
      </c>
      <c r="F43" s="3">
        <f>D43/B43*100</f>
        <v>80.74279672217818</v>
      </c>
      <c r="G43" s="3">
        <f t="shared" si="0"/>
        <v>74.32777710183723</v>
      </c>
      <c r="H43" s="3">
        <f t="shared" si="2"/>
        <v>145.69999999999993</v>
      </c>
      <c r="I43" s="3">
        <f t="shared" si="1"/>
        <v>210.9999999999999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f>6747.2-2.4</f>
        <v>6744.8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193+223+8.7+101.1+200.9+9+241+299.2+7.6+43.6+283.1+0.8+48.7+276.1+3.4+2.2+253.5+5+282+1.9+4.8+3.2+261.3+0.5+265.1+0.7+6.9+276.6+1.6+124.9+209.3+1.9+2.9+4.7+268.2+52.2+128+106.4+2.5+2.2+206.7+137.5+253.2+11.2+1.2+355.4-0.1+10.3+216.8+2.6+30.7+485.5</f>
        <v>5918.699999999998</v>
      </c>
      <c r="E45" s="3">
        <f>D45/D149*100</f>
        <v>0.7518698546729331</v>
      </c>
      <c r="F45" s="3">
        <f>D45/B45*100</f>
        <v>87.75204602063809</v>
      </c>
      <c r="G45" s="3">
        <f aca="true" t="shared" si="4" ref="G45:G75">D45/C45*100</f>
        <v>78.59741846382659</v>
      </c>
      <c r="H45" s="3">
        <f>B45-D45</f>
        <v>826.1000000000022</v>
      </c>
      <c r="I45" s="3">
        <f aca="true" t="shared" si="5" ref="I45:I76">C45-D45</f>
        <v>1611.7000000000035</v>
      </c>
    </row>
    <row r="46" spans="1:9" ht="18">
      <c r="A46" s="29" t="s">
        <v>3</v>
      </c>
      <c r="B46" s="49">
        <v>5886.2</v>
      </c>
      <c r="C46" s="50">
        <f>5755.9+764.6</f>
        <v>6520.5</v>
      </c>
      <c r="D46" s="51">
        <f>193+222.7+1.6+196.4+240.9+0.1+199.7+265.9+214+253.1+238.6+255.9+243.9+273.5+83.6+206+267.9+52.2+106.2+102.2+205.5+137.5+232.3+354.4-0.1+203.6+485.3</f>
        <v>5235.9</v>
      </c>
      <c r="E46" s="1">
        <f>D46/D45*100</f>
        <v>88.46368290334028</v>
      </c>
      <c r="F46" s="1">
        <f aca="true" t="shared" si="6" ref="F46:F73">D46/B46*100</f>
        <v>88.95212531004722</v>
      </c>
      <c r="G46" s="1">
        <f t="shared" si="4"/>
        <v>80.29905682079594</v>
      </c>
      <c r="H46" s="1">
        <f aca="true" t="shared" si="7" ref="H46:H73">B46-D46</f>
        <v>650.3000000000002</v>
      </c>
      <c r="I46" s="1">
        <f t="shared" si="5"/>
        <v>1284.6000000000004</v>
      </c>
    </row>
    <row r="47" spans="1:9" ht="18">
      <c r="A47" s="29" t="s">
        <v>2</v>
      </c>
      <c r="B47" s="49">
        <v>1.2</v>
      </c>
      <c r="C47" s="50">
        <v>1.2</v>
      </c>
      <c r="D47" s="51">
        <f>0.3+0.4+0.3</f>
        <v>1</v>
      </c>
      <c r="E47" s="1">
        <f>D47/D45*100</f>
        <v>0.01689560207477994</v>
      </c>
      <c r="F47" s="1">
        <f t="shared" si="6"/>
        <v>83.33333333333334</v>
      </c>
      <c r="G47" s="1">
        <f t="shared" si="4"/>
        <v>83.33333333333334</v>
      </c>
      <c r="H47" s="1">
        <f t="shared" si="7"/>
        <v>0.19999999999999996</v>
      </c>
      <c r="I47" s="1">
        <f t="shared" si="5"/>
        <v>0.19999999999999996</v>
      </c>
    </row>
    <row r="48" spans="1:9" ht="18">
      <c r="A48" s="29" t="s">
        <v>1</v>
      </c>
      <c r="B48" s="49">
        <v>53.8</v>
      </c>
      <c r="C48" s="50">
        <v>60.2</v>
      </c>
      <c r="D48" s="51">
        <f>3.8+1+5.7-0.1+1.3+4.1-0.1+4.6+1.1+4.8+5.5+2+1.7+4.3</f>
        <v>39.7</v>
      </c>
      <c r="E48" s="1">
        <f>D48/D45*100</f>
        <v>0.6707554023687637</v>
      </c>
      <c r="F48" s="1">
        <f t="shared" si="6"/>
        <v>73.7918215613383</v>
      </c>
      <c r="G48" s="1">
        <f t="shared" si="4"/>
        <v>65.9468438538206</v>
      </c>
      <c r="H48" s="1">
        <f t="shared" si="7"/>
        <v>14.099999999999994</v>
      </c>
      <c r="I48" s="1">
        <f t="shared" si="5"/>
        <v>20.5</v>
      </c>
    </row>
    <row r="49" spans="1:9" ht="18">
      <c r="A49" s="29" t="s">
        <v>0</v>
      </c>
      <c r="B49" s="49">
        <v>423.8</v>
      </c>
      <c r="C49" s="50">
        <f>538.3</f>
        <v>538.3</v>
      </c>
      <c r="D49" s="51">
        <f>4.7+90.3+4.8+67.1+3.1+1.1+45.6+36.3+2.7+2+0.1+34.4+3.4+0.5+2.5+1.1+0.5+0.5+1.4+1.1+0.5+1.9+0.9+0.4+1.5+1.2+0.1+0.4+2.2+1.9</f>
        <v>314.1999999999998</v>
      </c>
      <c r="E49" s="1">
        <f>D49/D45*100</f>
        <v>5.308598171895854</v>
      </c>
      <c r="F49" s="1">
        <f t="shared" si="6"/>
        <v>74.13874469089188</v>
      </c>
      <c r="G49" s="1">
        <f t="shared" si="4"/>
        <v>58.3689392532045</v>
      </c>
      <c r="H49" s="1">
        <f t="shared" si="7"/>
        <v>109.6000000000002</v>
      </c>
      <c r="I49" s="1">
        <f t="shared" si="5"/>
        <v>224.10000000000014</v>
      </c>
    </row>
    <row r="50" spans="1:9" ht="18.75" thickBot="1">
      <c r="A50" s="29" t="s">
        <v>34</v>
      </c>
      <c r="B50" s="50">
        <f>B45-B46-B49-B48-B47</f>
        <v>379.80000000000035</v>
      </c>
      <c r="C50" s="50">
        <f>C45-C46-C49-C48-C47</f>
        <v>410.2000000000015</v>
      </c>
      <c r="D50" s="50">
        <f>D45-D46-D49-D48-D47</f>
        <v>327.89999999999856</v>
      </c>
      <c r="E50" s="1">
        <f>D50/D45*100</f>
        <v>5.540067920320317</v>
      </c>
      <c r="F50" s="1">
        <f t="shared" si="6"/>
        <v>86.33491311216383</v>
      </c>
      <c r="G50" s="1">
        <f t="shared" si="4"/>
        <v>79.9366162847385</v>
      </c>
      <c r="H50" s="1">
        <f t="shared" si="7"/>
        <v>51.900000000001796</v>
      </c>
      <c r="I50" s="1">
        <f t="shared" si="5"/>
        <v>82.30000000000297</v>
      </c>
    </row>
    <row r="51" spans="1:9" ht="18.75" thickBot="1">
      <c r="A51" s="28" t="s">
        <v>4</v>
      </c>
      <c r="B51" s="52">
        <v>13774.4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+26.4+686.6+153.4+0.2+3.8+55.5</f>
        <v>11358.200000000003</v>
      </c>
      <c r="E51" s="3">
        <f>D51/D149*100</f>
        <v>1.4428655250893123</v>
      </c>
      <c r="F51" s="3">
        <f>D51/B51*100</f>
        <v>82.45876408409806</v>
      </c>
      <c r="G51" s="3">
        <f t="shared" si="4"/>
        <v>75.42816918244425</v>
      </c>
      <c r="H51" s="3">
        <f>B51-D51</f>
        <v>2416.199999999997</v>
      </c>
      <c r="I51" s="3">
        <f t="shared" si="5"/>
        <v>3700.0999999999985</v>
      </c>
    </row>
    <row r="52" spans="1:9" ht="18">
      <c r="A52" s="29" t="s">
        <v>3</v>
      </c>
      <c r="B52" s="49">
        <v>8473.4</v>
      </c>
      <c r="C52" s="50">
        <f>8729.1+639.9+67.5</f>
        <v>9436.5</v>
      </c>
      <c r="D52" s="51">
        <f>260.4+390.2+0.1+271.7+395.7-0.1+282.9+391.4+0.1+7.8+263.9+397.2+272.6+486-0.1+358+766.6-0.1+295.1+13.6+394.1+219.2+320.5+285+521.5+317.6+578.5+0.1+3.8</f>
        <v>7493.300000000001</v>
      </c>
      <c r="E52" s="1">
        <f>D52/D51*100</f>
        <v>65.97260129245831</v>
      </c>
      <c r="F52" s="1">
        <f t="shared" si="6"/>
        <v>88.43321453017681</v>
      </c>
      <c r="G52" s="1">
        <f t="shared" si="4"/>
        <v>79.40761935039475</v>
      </c>
      <c r="H52" s="1">
        <f t="shared" si="7"/>
        <v>980.0999999999985</v>
      </c>
      <c r="I52" s="1">
        <f t="shared" si="5"/>
        <v>1943.199999999999</v>
      </c>
    </row>
    <row r="53" spans="1:9" ht="18">
      <c r="A53" s="29" t="s">
        <v>2</v>
      </c>
      <c r="B53" s="49">
        <v>10.9</v>
      </c>
      <c r="C53" s="50">
        <v>10.9</v>
      </c>
      <c r="D53" s="51">
        <f>1.4+1.4+1.2</f>
        <v>4</v>
      </c>
      <c r="E53" s="1">
        <f>D53/D51*100</f>
        <v>0.03521684773995879</v>
      </c>
      <c r="F53" s="1">
        <f t="shared" si="6"/>
        <v>36.69724770642201</v>
      </c>
      <c r="G53" s="1">
        <f t="shared" si="4"/>
        <v>36.69724770642201</v>
      </c>
      <c r="H53" s="1">
        <f t="shared" si="7"/>
        <v>6.9</v>
      </c>
      <c r="I53" s="1">
        <f t="shared" si="5"/>
        <v>6.9</v>
      </c>
    </row>
    <row r="54" spans="1:9" ht="18">
      <c r="A54" s="29" t="s">
        <v>1</v>
      </c>
      <c r="B54" s="49">
        <v>242.9</v>
      </c>
      <c r="C54" s="50">
        <f>189.7+74</f>
        <v>263.7</v>
      </c>
      <c r="D54" s="51">
        <f>1.7+1.5+4.6+9.7+8-0.1+0.1+5.9+12.1+0.1+17.6+12.8+4+10.7+8.4+14.1+1.9+4.9+0.7+2.4+2.3+3.8+1+1.4+3.6+2.3+15.6+9.1+19.4+7.3</f>
        <v>186.90000000000003</v>
      </c>
      <c r="E54" s="1">
        <f>D54/D51*100</f>
        <v>1.6455072106495747</v>
      </c>
      <c r="F54" s="1">
        <f t="shared" si="6"/>
        <v>76.94524495677236</v>
      </c>
      <c r="G54" s="1">
        <f t="shared" si="4"/>
        <v>70.8759954493743</v>
      </c>
      <c r="H54" s="1">
        <f t="shared" si="7"/>
        <v>55.99999999999997</v>
      </c>
      <c r="I54" s="1">
        <f t="shared" si="5"/>
        <v>76.79999999999995</v>
      </c>
    </row>
    <row r="55" spans="1:9" ht="18">
      <c r="A55" s="29" t="s">
        <v>0</v>
      </c>
      <c r="B55" s="49">
        <v>598.4</v>
      </c>
      <c r="C55" s="50">
        <f>709.9+0.6+0.2</f>
        <v>710.7</v>
      </c>
      <c r="D55" s="51">
        <f>1.1+7.6+5.9+0.3+0.2+6.8+0.3+67.1+16.4-0.1+19.5+19.3+76.2+4.5+12.1+86.4+1+0.1+7.3+44.6+0.6+0.7+4.7+3.3+0.6+3.6+2.4+6.1+0.1+1.4+1.4+0.4+0.1+0.5+4.8+1.4+0.3+5.7+0.1+0.9+0.8+1.1+0.2+6.4+0.7+1+8.2+1.4+2</f>
        <v>437.50000000000006</v>
      </c>
      <c r="E55" s="1">
        <f>D55/D51*100</f>
        <v>3.851842721557993</v>
      </c>
      <c r="F55" s="1">
        <f t="shared" si="6"/>
        <v>73.1116310160428</v>
      </c>
      <c r="G55" s="1">
        <f t="shared" si="4"/>
        <v>61.55902631208669</v>
      </c>
      <c r="H55" s="1">
        <f t="shared" si="7"/>
        <v>160.89999999999992</v>
      </c>
      <c r="I55" s="1">
        <f t="shared" si="5"/>
        <v>273.2</v>
      </c>
    </row>
    <row r="56" spans="1:9" ht="18.75" thickBot="1">
      <c r="A56" s="29" t="s">
        <v>34</v>
      </c>
      <c r="B56" s="50">
        <f>B51-B52-B55-B54-B53</f>
        <v>4448.800000000001</v>
      </c>
      <c r="C56" s="50">
        <f>C51-C52-C55-C54-C53</f>
        <v>4636.500000000002</v>
      </c>
      <c r="D56" s="50">
        <f>D51-D52-D55-D54-D53</f>
        <v>3236.5000000000014</v>
      </c>
      <c r="E56" s="1">
        <f>D56/D51*100</f>
        <v>28.494831927594166</v>
      </c>
      <c r="F56" s="1">
        <f t="shared" si="6"/>
        <v>72.74995504405683</v>
      </c>
      <c r="G56" s="1">
        <f t="shared" si="4"/>
        <v>69.80480966246091</v>
      </c>
      <c r="H56" s="1">
        <f t="shared" si="7"/>
        <v>1212.2999999999997</v>
      </c>
      <c r="I56" s="1">
        <f>C56-D56</f>
        <v>1400.0000000000005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5421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36.1+65.6+6.5+0.4+1.3+60.3+3+39.2+0.1+14.1+69.1+5.2-0.1+1.8+81+43+6.1+66+42.4+63.1+71.4+46.8+10.3+27.4+2.3+82.5+2.8+0.1+44.9+0.6+7.5+171.3-0.1+367.2+95.8+11.5+311.3+2+93.8+64.9+129.4+50.3+170.3+51.7+1.1+3.7+105.6+80.3+0.1+0.5+56.7+4.1+474.6+79.9+0.1+1424.3+42.1+1.3+1.7+92.6</f>
        <v>4788.9</v>
      </c>
      <c r="E58" s="3">
        <f>D58/D149*100</f>
        <v>0.608348040455372</v>
      </c>
      <c r="F58" s="3">
        <f>D58/B58*100</f>
        <v>88.33978970669617</v>
      </c>
      <c r="G58" s="3">
        <f t="shared" si="4"/>
        <v>85.10574018126887</v>
      </c>
      <c r="H58" s="3">
        <f>B58-D58</f>
        <v>632.1000000000004</v>
      </c>
      <c r="I58" s="3">
        <f t="shared" si="5"/>
        <v>838.1000000000004</v>
      </c>
    </row>
    <row r="59" spans="1:9" ht="18">
      <c r="A59" s="29" t="s">
        <v>3</v>
      </c>
      <c r="B59" s="49">
        <v>1433.6</v>
      </c>
      <c r="C59" s="50">
        <f>1426.1+141.2</f>
        <v>1567.3</v>
      </c>
      <c r="D59" s="51">
        <f>36.1+65.6+39.2+69.1+1.8+43+66+41.2+71.4+46.8+1.2+82.5+0.1+44.9+89.3+53.8+64.9+50.3+105.6+56.7+78.9+42.1+92.6</f>
        <v>1243.0999999999997</v>
      </c>
      <c r="E59" s="1">
        <f>D59/D58*100</f>
        <v>25.957944413122007</v>
      </c>
      <c r="F59" s="1">
        <f t="shared" si="6"/>
        <v>86.7117745535714</v>
      </c>
      <c r="G59" s="1">
        <f t="shared" si="4"/>
        <v>79.31474510304344</v>
      </c>
      <c r="H59" s="1">
        <f t="shared" si="7"/>
        <v>190.50000000000023</v>
      </c>
      <c r="I59" s="1">
        <f t="shared" si="5"/>
        <v>324.2000000000003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6.1872246236087625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395.6</v>
      </c>
      <c r="C61" s="50">
        <f>420.8+44</f>
        <v>464.8</v>
      </c>
      <c r="D61" s="51">
        <f>1.3+56.1+4.9+63.5+3.5+0.7+63-0.1+10.3+25.7+2.8+0.3+7.3+0.2+1+0.1+0.3+1+0.2+2.3+0.3+1.5</f>
        <v>246.20000000000005</v>
      </c>
      <c r="E61" s="1">
        <f>D61/D58*100</f>
        <v>5.141055357180147</v>
      </c>
      <c r="F61" s="1">
        <f t="shared" si="6"/>
        <v>62.234580384226504</v>
      </c>
      <c r="G61" s="1">
        <f t="shared" si="4"/>
        <v>52.96901893287437</v>
      </c>
      <c r="H61" s="1">
        <f t="shared" si="7"/>
        <v>149.39999999999998</v>
      </c>
      <c r="I61" s="1">
        <f t="shared" si="5"/>
        <v>218.59999999999997</v>
      </c>
    </row>
    <row r="62" spans="1:9" ht="18">
      <c r="A62" s="29" t="s">
        <v>15</v>
      </c>
      <c r="B62" s="49">
        <v>3089.7</v>
      </c>
      <c r="C62" s="50">
        <f>728.9+2400-39.2</f>
        <v>3089.7000000000003</v>
      </c>
      <c r="D62" s="51">
        <f>367.2+308.5+129.4+168.2+474.6+1423.8-0.1</f>
        <v>2871.6</v>
      </c>
      <c r="E62" s="1">
        <f>D62/D58*100</f>
        <v>59.96366597757314</v>
      </c>
      <c r="F62" s="1">
        <f>D62/B62*100</f>
        <v>92.94106223905234</v>
      </c>
      <c r="G62" s="1">
        <f t="shared" si="4"/>
        <v>92.94106223905231</v>
      </c>
      <c r="H62" s="1">
        <f t="shared" si="7"/>
        <v>218.0999999999999</v>
      </c>
      <c r="I62" s="1">
        <f t="shared" si="5"/>
        <v>218.10000000000036</v>
      </c>
    </row>
    <row r="63" spans="1:9" ht="18.75" thickBot="1">
      <c r="A63" s="29" t="s">
        <v>34</v>
      </c>
      <c r="B63" s="50">
        <f>B58-B59-B61-B62-B60</f>
        <v>202.2000000000004</v>
      </c>
      <c r="C63" s="50">
        <f>C58-C59-C61-C62-C60</f>
        <v>205.2999999999994</v>
      </c>
      <c r="D63" s="50">
        <f>D58-D59-D61-D62-D60</f>
        <v>131.70000000000044</v>
      </c>
      <c r="E63" s="1">
        <f>D63/D58*100</f>
        <v>2.7501096285159528</v>
      </c>
      <c r="F63" s="1">
        <f t="shared" si="6"/>
        <v>65.13353115727011</v>
      </c>
      <c r="G63" s="1">
        <f t="shared" si="4"/>
        <v>64.15002435460343</v>
      </c>
      <c r="H63" s="1">
        <f t="shared" si="7"/>
        <v>70.49999999999994</v>
      </c>
      <c r="I63" s="1">
        <f t="shared" si="5"/>
        <v>73.59999999999894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367.3</v>
      </c>
      <c r="C68" s="53">
        <f>C69+C70</f>
        <v>384.30000000000007</v>
      </c>
      <c r="D68" s="54">
        <f>SUM(D69:D70)</f>
        <v>270.30000000000007</v>
      </c>
      <c r="E68" s="42">
        <f>D68/D149*100</f>
        <v>0.0343370033483863</v>
      </c>
      <c r="F68" s="3">
        <f>D68/B68*100</f>
        <v>73.59106997005175</v>
      </c>
      <c r="G68" s="3">
        <f t="shared" si="4"/>
        <v>70.33567525370805</v>
      </c>
      <c r="H68" s="3">
        <f>B68-D68</f>
        <v>96.99999999999994</v>
      </c>
      <c r="I68" s="3">
        <f t="shared" si="5"/>
        <v>114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0.2+12.6+73.3+85.8+22+1.3+2.3+2.7+1.6+2.5+7.9-0.2+3.6+5.1+14.9+0.1+2.1+5.3+13.2+2.6+0.1</f>
        <v>259.00000000000006</v>
      </c>
      <c r="E69" s="1">
        <f>D69/D68*100</f>
        <v>95.81945985941546</v>
      </c>
      <c r="F69" s="1">
        <f t="shared" si="6"/>
        <v>83.65633074935401</v>
      </c>
      <c r="G69" s="1">
        <f t="shared" si="4"/>
        <v>83.65633074935401</v>
      </c>
      <c r="H69" s="1">
        <f t="shared" si="7"/>
        <v>50.599999999999966</v>
      </c>
      <c r="I69" s="1">
        <f t="shared" si="5"/>
        <v>50.599999999999966</v>
      </c>
    </row>
    <row r="70" spans="1:9" ht="18.75" thickBot="1">
      <c r="A70" s="29" t="s">
        <v>9</v>
      </c>
      <c r="B70" s="49">
        <v>57.7</v>
      </c>
      <c r="C70" s="50">
        <f>242.8-42.9-28.6-11-78-0.1-7.5</f>
        <v>74.70000000000002</v>
      </c>
      <c r="D70" s="51">
        <f>7.4+0.2+3.8-0.1</f>
        <v>11.3</v>
      </c>
      <c r="E70" s="1">
        <f>D70/D69*100</f>
        <v>4.362934362934362</v>
      </c>
      <c r="F70" s="1">
        <f t="shared" si="6"/>
        <v>19.584055459272097</v>
      </c>
      <c r="G70" s="1">
        <f t="shared" si="4"/>
        <v>15.12717536813922</v>
      </c>
      <c r="H70" s="1">
        <f t="shared" si="7"/>
        <v>46.400000000000006</v>
      </c>
      <c r="I70" s="1">
        <f t="shared" si="5"/>
        <v>63.40000000000002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309.4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309.4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46025.2</v>
      </c>
      <c r="C89" s="53">
        <f>47925.9+539.6+110+168.6+27+1682.4+76+79.6</f>
        <v>50609.1</v>
      </c>
      <c r="D89" s="54">
        <f>36671.5+50.5+277.1+1482.7+43.6+468.3-0.1+17.7+27.6+57.5</f>
        <v>39096.399999999994</v>
      </c>
      <c r="E89" s="3">
        <f>D89/D149*100</f>
        <v>4.966530587161855</v>
      </c>
      <c r="F89" s="3">
        <f aca="true" t="shared" si="10" ref="F89:F95">D89/B89*100</f>
        <v>84.94563847631296</v>
      </c>
      <c r="G89" s="3">
        <f t="shared" si="8"/>
        <v>77.2517195524125</v>
      </c>
      <c r="H89" s="3">
        <f aca="true" t="shared" si="11" ref="H89:H95">B89-D89</f>
        <v>6928.800000000003</v>
      </c>
      <c r="I89" s="3">
        <f t="shared" si="9"/>
        <v>11512.700000000004</v>
      </c>
    </row>
    <row r="90" spans="1:9" ht="18">
      <c r="A90" s="29" t="s">
        <v>3</v>
      </c>
      <c r="B90" s="49">
        <v>37699.2</v>
      </c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+51+265.7+1476.9+13+446.3+0.1+1.6</f>
        <v>33583.30000000001</v>
      </c>
      <c r="E90" s="1">
        <f>D90/D89*100</f>
        <v>85.8987016707421</v>
      </c>
      <c r="F90" s="1">
        <f t="shared" si="10"/>
        <v>89.08226169255585</v>
      </c>
      <c r="G90" s="1">
        <f t="shared" si="8"/>
        <v>81.1190821256039</v>
      </c>
      <c r="H90" s="1">
        <f t="shared" si="11"/>
        <v>4115.899999999987</v>
      </c>
      <c r="I90" s="1">
        <f t="shared" si="9"/>
        <v>7816.69999999999</v>
      </c>
    </row>
    <row r="91" spans="1:9" ht="18">
      <c r="A91" s="29" t="s">
        <v>32</v>
      </c>
      <c r="B91" s="49">
        <v>2175.9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+0.2+16.9+3.9+1.3</f>
        <v>1158.6000000000001</v>
      </c>
      <c r="E91" s="1">
        <f>D91/D89*100</f>
        <v>2.9634442045814966</v>
      </c>
      <c r="F91" s="1">
        <f t="shared" si="10"/>
        <v>53.24693230387426</v>
      </c>
      <c r="G91" s="1">
        <f t="shared" si="8"/>
        <v>44.99242747854453</v>
      </c>
      <c r="H91" s="1">
        <f t="shared" si="11"/>
        <v>1017.3</v>
      </c>
      <c r="I91" s="1">
        <f t="shared" si="9"/>
        <v>1416.4999999999998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6150.1</v>
      </c>
      <c r="C93" s="50">
        <f>C89-C90-C91-C92</f>
        <v>6633.999999999998</v>
      </c>
      <c r="D93" s="50">
        <f>D89-D90-D91-D92</f>
        <v>4354.499999999984</v>
      </c>
      <c r="E93" s="1">
        <f>D93/D89*100</f>
        <v>11.137854124676402</v>
      </c>
      <c r="F93" s="1">
        <f t="shared" si="10"/>
        <v>70.80372676867016</v>
      </c>
      <c r="G93" s="1">
        <f>D93/C93*100</f>
        <v>65.63913174555299</v>
      </c>
      <c r="H93" s="1">
        <f t="shared" si="11"/>
        <v>1795.6000000000167</v>
      </c>
      <c r="I93" s="1">
        <f>C93-D93</f>
        <v>2279.5000000000146</v>
      </c>
    </row>
    <row r="94" spans="1:9" ht="18.75">
      <c r="A94" s="120" t="s">
        <v>12</v>
      </c>
      <c r="B94" s="125">
        <v>53411.1</v>
      </c>
      <c r="C94" s="127">
        <f>48638.3+1900-424+424+830+1679.1+0.1+2819.7</f>
        <v>55867.2</v>
      </c>
      <c r="D94" s="126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+4.5+13.1+856.6+178+92.9+0.1+1943.3+359.5+277.5+1</f>
        <v>49831.70000000002</v>
      </c>
      <c r="E94" s="119">
        <f>D94/D149*100</f>
        <v>6.330267294693975</v>
      </c>
      <c r="F94" s="123">
        <f t="shared" si="10"/>
        <v>93.29839677520219</v>
      </c>
      <c r="G94" s="118">
        <f>D94/C94*100</f>
        <v>89.19670217945416</v>
      </c>
      <c r="H94" s="124">
        <f t="shared" si="11"/>
        <v>3579.3999999999796</v>
      </c>
      <c r="I94" s="119">
        <f>C94-D94</f>
        <v>6035.499999999978</v>
      </c>
    </row>
    <row r="95" spans="1:9" ht="18.75" thickBot="1">
      <c r="A95" s="121" t="s">
        <v>107</v>
      </c>
      <c r="B95" s="128">
        <v>4475</v>
      </c>
      <c r="C95" s="129">
        <f>4853.7+35</f>
        <v>4888.7</v>
      </c>
      <c r="D95" s="130">
        <f>600+69+9+48.5+2.5+299.7+50.5+190.4+1.3+10.6+6.7+53.3-0.1+0.9+266.8+7.4+4.8+52.9+0.1+200.2+15.7+7.1+5.9+55+13+150.2+100.5+23.9+52.6+56+166.1+18.9+16.3+57+182.9+5.3+14+56.5+0.5+15+250.5+29.4+17.9+58.3+222+1</f>
        <v>3466.000000000001</v>
      </c>
      <c r="E95" s="131">
        <f>D95/D94*100</f>
        <v>6.955411916510975</v>
      </c>
      <c r="F95" s="132">
        <f t="shared" si="10"/>
        <v>77.45251396648047</v>
      </c>
      <c r="G95" s="133">
        <f>D95/C95*100</f>
        <v>70.89819379385115</v>
      </c>
      <c r="H95" s="122">
        <f t="shared" si="11"/>
        <v>1008.9999999999991</v>
      </c>
      <c r="I95" s="96">
        <f>C95-D95</f>
        <v>1422.699999999999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2"/>
      <c r="B100" s="113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9271.7</v>
      </c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+0.7+31.1+30.6+44.4+79.8+137.4+2.5+0.1+20+26.3</f>
        <v>5992.907000000002</v>
      </c>
      <c r="E101" s="25">
        <f>D101/D149*100</f>
        <v>0.7612965879599248</v>
      </c>
      <c r="F101" s="25">
        <f>D101/B101*100</f>
        <v>64.63654993151204</v>
      </c>
      <c r="G101" s="25">
        <f aca="true" t="shared" si="12" ref="G101:G147">D101/C101*100</f>
        <v>57.87676008730421</v>
      </c>
      <c r="H101" s="25">
        <f aca="true" t="shared" si="13" ref="H101:H106">B101-D101</f>
        <v>3278.7929999999988</v>
      </c>
      <c r="I101" s="25">
        <f aca="true" t="shared" si="14" ref="I101:I147">C101-D101</f>
        <v>4361.692999999998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5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8340.1</v>
      </c>
      <c r="C103" s="51">
        <f>5036.9+4586-16.4-3.1+0.1-234-4.8-54.3+7.5</f>
        <v>9317.900000000001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+31+44+71+137.4-0.2+20+26</f>
        <v>5498.299999999999</v>
      </c>
      <c r="E103" s="1">
        <f>D103/D101*100</f>
        <v>91.74679333418652</v>
      </c>
      <c r="F103" s="1">
        <f aca="true" t="shared" si="15" ref="F103:F147">D103/B103*100</f>
        <v>65.92606803275739</v>
      </c>
      <c r="G103" s="1">
        <f t="shared" si="12"/>
        <v>59.00793097157083</v>
      </c>
      <c r="H103" s="1">
        <f t="shared" si="13"/>
        <v>2841.800000000001</v>
      </c>
      <c r="I103" s="1">
        <f t="shared" si="14"/>
        <v>3819.600000000002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931.6000000000004</v>
      </c>
      <c r="C105" s="100">
        <f>C101-C102-C103</f>
        <v>1036.699999999999</v>
      </c>
      <c r="D105" s="100">
        <f>D101-D102-D103</f>
        <v>494.6070000000027</v>
      </c>
      <c r="E105" s="96">
        <f>D105/D101*100</f>
        <v>8.253206665813478</v>
      </c>
      <c r="F105" s="96">
        <f t="shared" si="15"/>
        <v>53.09220695577528</v>
      </c>
      <c r="G105" s="96">
        <f t="shared" si="12"/>
        <v>47.70975209800359</v>
      </c>
      <c r="H105" s="96">
        <f>B105-D105</f>
        <v>436.99299999999766</v>
      </c>
      <c r="I105" s="96">
        <f t="shared" si="14"/>
        <v>542.0929999999962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181374.79999999996</v>
      </c>
      <c r="C106" s="93">
        <f>SUM(C107:C146)-C114-C118+C147-C138-C139-C108-C111-C121-C122-C136-C130-C128</f>
        <v>186744.8</v>
      </c>
      <c r="D106" s="93">
        <f>SUM(D107:D146)-D114-D118+D147-D138-D139-D108-D111-D121-D122-D136-D130-D128</f>
        <v>162001.69999999998</v>
      </c>
      <c r="E106" s="94">
        <f>D106/D149*100</f>
        <v>20.57955203604983</v>
      </c>
      <c r="F106" s="94">
        <f>D106/B106*100</f>
        <v>89.31874769813669</v>
      </c>
      <c r="G106" s="94">
        <f t="shared" si="12"/>
        <v>86.75031379722488</v>
      </c>
      <c r="H106" s="94">
        <f t="shared" si="13"/>
        <v>19373.099999999977</v>
      </c>
      <c r="I106" s="94">
        <f t="shared" si="14"/>
        <v>24743.100000000006</v>
      </c>
    </row>
    <row r="107" spans="1:9" ht="37.5">
      <c r="A107" s="34" t="s">
        <v>66</v>
      </c>
      <c r="B107" s="78">
        <f>1626.1+161.4</f>
        <v>1787.5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+1.2+1.5+37.1</f>
        <v>1110.0000000000002</v>
      </c>
      <c r="E107" s="6">
        <f>D107/D106*100</f>
        <v>0.6851779950457313</v>
      </c>
      <c r="F107" s="6">
        <f t="shared" si="15"/>
        <v>62.097902097902114</v>
      </c>
      <c r="G107" s="6">
        <f t="shared" si="12"/>
        <v>56.59800122374058</v>
      </c>
      <c r="H107" s="6">
        <f aca="true" t="shared" si="16" ref="H107:H147">B107-D107</f>
        <v>677.4999999999998</v>
      </c>
      <c r="I107" s="6">
        <f t="shared" si="14"/>
        <v>851.1999999999998</v>
      </c>
    </row>
    <row r="108" spans="1:9" ht="18">
      <c r="A108" s="29" t="s">
        <v>32</v>
      </c>
      <c r="B108" s="81">
        <v>707.2</v>
      </c>
      <c r="C108" s="51">
        <v>823.7</v>
      </c>
      <c r="D108" s="82">
        <f>96.8+90.7+64.1+48.5+58.1+15.9+13.5+19.9+29.9+6.9+7.8+25.5</f>
        <v>477.59999999999997</v>
      </c>
      <c r="E108" s="1"/>
      <c r="F108" s="1">
        <f t="shared" si="15"/>
        <v>67.5339366515837</v>
      </c>
      <c r="G108" s="1">
        <f t="shared" si="12"/>
        <v>57.98227510015782</v>
      </c>
      <c r="H108" s="1">
        <f t="shared" si="16"/>
        <v>229.60000000000008</v>
      </c>
      <c r="I108" s="1">
        <f t="shared" si="14"/>
        <v>346.1000000000001</v>
      </c>
    </row>
    <row r="109" spans="1:9" ht="34.5" customHeight="1">
      <c r="A109" s="17" t="s">
        <v>99</v>
      </c>
      <c r="B109" s="80">
        <v>850.7</v>
      </c>
      <c r="C109" s="68">
        <v>903.8</v>
      </c>
      <c r="D109" s="79">
        <f>20.7+31.6+0.1+27.7-0.1+31.4+0.1+10.6+34.1+43.9+13.6+28.6+61.2+100.4+0.1+35.1+59.8</f>
        <v>498.90000000000003</v>
      </c>
      <c r="E109" s="6">
        <f>D109/D106*100</f>
        <v>0.3079597312867705</v>
      </c>
      <c r="F109" s="6">
        <f>D109/B109*100</f>
        <v>58.64582108851534</v>
      </c>
      <c r="G109" s="6">
        <f t="shared" si="12"/>
        <v>55.20026554547467</v>
      </c>
      <c r="H109" s="6">
        <f t="shared" si="16"/>
        <v>351.8</v>
      </c>
      <c r="I109" s="6">
        <f t="shared" si="14"/>
        <v>404.8999999999999</v>
      </c>
    </row>
    <row r="110" spans="1:9" s="44" customFormat="1" ht="34.5" customHeight="1">
      <c r="A110" s="17" t="s">
        <v>74</v>
      </c>
      <c r="B110" s="80">
        <v>80.1</v>
      </c>
      <c r="C110" s="60">
        <f>71.8+12.8</f>
        <v>84.6</v>
      </c>
      <c r="D110" s="83">
        <f>5.3+5.3+0.5+1.7+6+6+6</f>
        <v>30.799999999999997</v>
      </c>
      <c r="E110" s="6">
        <f>D110/D106*100</f>
        <v>0.0190121461688365</v>
      </c>
      <c r="F110" s="6">
        <f t="shared" si="15"/>
        <v>38.45193508114856</v>
      </c>
      <c r="G110" s="6">
        <f t="shared" si="12"/>
        <v>36.406619385342786</v>
      </c>
      <c r="H110" s="6">
        <f t="shared" si="16"/>
        <v>49.3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61.7</v>
      </c>
      <c r="C112" s="68">
        <v>67.4</v>
      </c>
      <c r="D112" s="79">
        <f>5.5+5.4+5.5+5.5+5.5+5.5-0.1+2.7+0.1+2.7+5.5+5.5+2.7+2.7</f>
        <v>54.70000000000001</v>
      </c>
      <c r="E112" s="6">
        <f>D112/D106*100</f>
        <v>0.033765077773875225</v>
      </c>
      <c r="F112" s="6">
        <f t="shared" si="15"/>
        <v>88.65478119935172</v>
      </c>
      <c r="G112" s="6">
        <f t="shared" si="12"/>
        <v>81.1572700296736</v>
      </c>
      <c r="H112" s="6">
        <f t="shared" si="16"/>
        <v>6.999999999999993</v>
      </c>
      <c r="I112" s="6">
        <f t="shared" si="14"/>
        <v>12.699999999999996</v>
      </c>
    </row>
    <row r="113" spans="1:9" ht="37.5">
      <c r="A113" s="17" t="s">
        <v>46</v>
      </c>
      <c r="B113" s="80">
        <v>1394.1</v>
      </c>
      <c r="C113" s="68">
        <v>1532.5</v>
      </c>
      <c r="D113" s="79">
        <f>96.4+0.6+6.3+86+10.4+21.5+5.3+0.1+11.6+102.1+10.6+3.5+5.6+100.7+13.3+0.9+3.6+96.9-0.1+15.7+1.7+1+96.8+0.1+4+1+0.2+1.2+96.6+0.3-0.1+8.6+0.3+99+5.6+0.2+90.6+4.7+0.3+5.2+0.3+97.3+0.4-0.1+4.2</f>
        <v>1110.4000000000005</v>
      </c>
      <c r="E113" s="6">
        <f>D113/D106*100</f>
        <v>0.6854249060349371</v>
      </c>
      <c r="F113" s="6">
        <f t="shared" si="15"/>
        <v>79.64995337493728</v>
      </c>
      <c r="G113" s="6">
        <f t="shared" si="12"/>
        <v>72.45676998368683</v>
      </c>
      <c r="H113" s="6">
        <f t="shared" si="16"/>
        <v>283.69999999999936</v>
      </c>
      <c r="I113" s="6">
        <f t="shared" si="14"/>
        <v>422.09999999999945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0.022221989028510195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19.1+40+15+2.5+6+9.5</f>
        <v>92.1</v>
      </c>
      <c r="E116" s="6">
        <f>D116/D106*100</f>
        <v>0.05685125526460525</v>
      </c>
      <c r="F116" s="6">
        <f>D116/B116*100</f>
        <v>37.56117455138662</v>
      </c>
      <c r="G116" s="6">
        <f t="shared" si="12"/>
        <v>37.56117455138662</v>
      </c>
      <c r="H116" s="6">
        <f t="shared" si="16"/>
        <v>153.1</v>
      </c>
      <c r="I116" s="6">
        <f t="shared" si="14"/>
        <v>153.1</v>
      </c>
    </row>
    <row r="117" spans="1:9" s="2" customFormat="1" ht="18.75">
      <c r="A117" s="17" t="s">
        <v>16</v>
      </c>
      <c r="B117" s="80">
        <v>219.5</v>
      </c>
      <c r="C117" s="60">
        <f>199.6+4.8+37.1</f>
        <v>241.5</v>
      </c>
      <c r="D117" s="79">
        <f>1.6+18.3+17.8+0.8+2.2+4+0.6+16.7+3.7+3.6+16.7+3.4+1.3+16.7+2.9+0.8+16.7+0.1+0.8+1.3+16.7+3.7+1.1+1.1+3.7+16.7+0.8+3+0.3+0.6+16.7</f>
        <v>194.39999999999998</v>
      </c>
      <c r="E117" s="6">
        <f>D117/D106*100</f>
        <v>0.11999874075395506</v>
      </c>
      <c r="F117" s="6">
        <f t="shared" si="15"/>
        <v>88.56492027334852</v>
      </c>
      <c r="G117" s="6">
        <f t="shared" si="12"/>
        <v>80.49689440993788</v>
      </c>
      <c r="H117" s="6">
        <f t="shared" si="16"/>
        <v>25.100000000000023</v>
      </c>
      <c r="I117" s="6">
        <f t="shared" si="14"/>
        <v>47.10000000000002</v>
      </c>
    </row>
    <row r="118" spans="1:9" s="39" customFormat="1" ht="18">
      <c r="A118" s="40" t="s">
        <v>53</v>
      </c>
      <c r="B118" s="81">
        <v>169</v>
      </c>
      <c r="C118" s="51">
        <f>150.8+37.1</f>
        <v>187.9</v>
      </c>
      <c r="D118" s="82">
        <f>16.7+16.7+16.7+16.7+16.7+16.7+16.7+16.7+16.7</f>
        <v>150.29999999999998</v>
      </c>
      <c r="E118" s="1"/>
      <c r="F118" s="1">
        <f t="shared" si="15"/>
        <v>88.93491124260355</v>
      </c>
      <c r="G118" s="1">
        <f t="shared" si="12"/>
        <v>79.98935604044703</v>
      </c>
      <c r="H118" s="1">
        <f t="shared" si="16"/>
        <v>18.700000000000017</v>
      </c>
      <c r="I118" s="1">
        <f t="shared" si="14"/>
        <v>37.60000000000002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0.27672549115225337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v>1251</v>
      </c>
      <c r="C120" s="60">
        <f>628+70+553-88+88</f>
        <v>1251</v>
      </c>
      <c r="D120" s="83">
        <f>110.6+553+71.8+70.5</f>
        <v>805.9</v>
      </c>
      <c r="E120" s="19">
        <f>D120/D106*100</f>
        <v>0.4974639155021213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4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4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2925.8</v>
      </c>
      <c r="C123" s="60">
        <v>2933.8</v>
      </c>
      <c r="D123" s="83">
        <f>21+0.9+174.2+5+11.4+16.5-0.1+809.5+345.2+0.7+692.9+77.6+2.5-0.1+414.9+15</f>
        <v>2587.1000000000004</v>
      </c>
      <c r="E123" s="19">
        <f>D123/D106*100</f>
        <v>1.596958550434965</v>
      </c>
      <c r="F123" s="6">
        <f t="shared" si="15"/>
        <v>88.42367899377949</v>
      </c>
      <c r="G123" s="6">
        <f t="shared" si="12"/>
        <v>88.18256186515782</v>
      </c>
      <c r="H123" s="6">
        <f t="shared" si="16"/>
        <v>338.6999999999998</v>
      </c>
      <c r="I123" s="6">
        <f t="shared" si="14"/>
        <v>346.6999999999998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0.08018434374454096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0.0012345549460283443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304.8</v>
      </c>
      <c r="C126" s="60">
        <v>332.4</v>
      </c>
      <c r="D126" s="83">
        <f>25</f>
        <v>25</v>
      </c>
      <c r="E126" s="19">
        <f>D126/D106*100</f>
        <v>0.015431936825354304</v>
      </c>
      <c r="F126" s="6">
        <f t="shared" si="15"/>
        <v>8.202099737532809</v>
      </c>
      <c r="G126" s="6">
        <f t="shared" si="12"/>
        <v>7.521058965102287</v>
      </c>
      <c r="H126" s="6">
        <f t="shared" si="16"/>
        <v>279.8</v>
      </c>
      <c r="I126" s="6">
        <f t="shared" si="14"/>
        <v>307.4</v>
      </c>
    </row>
    <row r="127" spans="1:9" s="2" customFormat="1" ht="37.5">
      <c r="A127" s="17" t="s">
        <v>77</v>
      </c>
      <c r="B127" s="80">
        <v>818.1</v>
      </c>
      <c r="C127" s="60">
        <f>101.4+27.9+634-0.1+60.1</f>
        <v>823.3</v>
      </c>
      <c r="D127" s="83">
        <f>3+3+4.9+21.9-0.1+12.2+1.6+6.9+7.8+0.7+8.4+2.4+5+2.4+0.1+5.6+2.4+0.1+5+2.4+578.6+30.5+2.4+19.2+2.4+0.3+0.9+4.2+55.2+2.8</f>
        <v>792.2</v>
      </c>
      <c r="E127" s="19">
        <f>D127/D106*100</f>
        <v>0.4890072141218272</v>
      </c>
      <c r="F127" s="6">
        <f t="shared" si="15"/>
        <v>96.83412785723017</v>
      </c>
      <c r="G127" s="6">
        <f t="shared" si="12"/>
        <v>96.22251913032918</v>
      </c>
      <c r="H127" s="6">
        <f t="shared" si="16"/>
        <v>25.899999999999977</v>
      </c>
      <c r="I127" s="6">
        <f t="shared" si="14"/>
        <v>31.09999999999991</v>
      </c>
    </row>
    <row r="128" spans="1:9" s="39" customFormat="1" ht="18">
      <c r="A128" s="29" t="s">
        <v>118</v>
      </c>
      <c r="B128" s="81">
        <v>704.1</v>
      </c>
      <c r="C128" s="51">
        <v>706.8</v>
      </c>
      <c r="D128" s="82">
        <f>698.5</f>
        <v>698.5</v>
      </c>
      <c r="E128" s="1"/>
      <c r="F128" s="1">
        <f>D128/B128*100</f>
        <v>99.20465842920039</v>
      </c>
      <c r="G128" s="1">
        <f t="shared" si="12"/>
        <v>98.82569326542162</v>
      </c>
      <c r="H128" s="1">
        <f t="shared" si="16"/>
        <v>5.600000000000023</v>
      </c>
      <c r="I128" s="1">
        <f t="shared" si="14"/>
        <v>8.299999999999955</v>
      </c>
    </row>
    <row r="129" spans="1:9" s="2" customFormat="1" ht="18.75">
      <c r="A129" s="17" t="s">
        <v>71</v>
      </c>
      <c r="B129" s="80">
        <v>646.4</v>
      </c>
      <c r="C129" s="60">
        <v>650</v>
      </c>
      <c r="D129" s="83">
        <f>8.7+23.6+6.2+5.1+38.5+4.6+4.8+8.6+12.9+2.8+0.1+16.3+3+2.5+6.2-0.2+39.7+9.9+9.5+37.2+8.4+10.6+4.5+4.6+8.4+6.1+57.4+4.4+6.7+28+9.4+8.7+4.9+9.5+4.4+8.6+6.7+7.6+14.9+42.7</f>
        <v>496.4999999999999</v>
      </c>
      <c r="E129" s="19">
        <f>D129/D106*100</f>
        <v>0.3064782653515364</v>
      </c>
      <c r="F129" s="6">
        <f t="shared" si="15"/>
        <v>76.81002475247524</v>
      </c>
      <c r="G129" s="6">
        <f t="shared" si="12"/>
        <v>76.38461538461536</v>
      </c>
      <c r="H129" s="6">
        <f t="shared" si="16"/>
        <v>149.9000000000001</v>
      </c>
      <c r="I129" s="6">
        <f t="shared" si="14"/>
        <v>153.5000000000001</v>
      </c>
    </row>
    <row r="130" spans="1:9" s="39" customFormat="1" ht="18">
      <c r="A130" s="40" t="s">
        <v>53</v>
      </c>
      <c r="B130" s="81">
        <v>74.7</v>
      </c>
      <c r="C130" s="51">
        <v>74.7</v>
      </c>
      <c r="D130" s="82">
        <f>8.7+27</f>
        <v>35.7</v>
      </c>
      <c r="E130" s="1"/>
      <c r="F130" s="1">
        <f>D130/B130*100</f>
        <v>47.791164658634536</v>
      </c>
      <c r="G130" s="1">
        <f t="shared" si="12"/>
        <v>47.791164658634536</v>
      </c>
      <c r="H130" s="1">
        <f t="shared" si="16"/>
        <v>39</v>
      </c>
      <c r="I130" s="1">
        <f t="shared" si="14"/>
        <v>39</v>
      </c>
    </row>
    <row r="131" spans="1:9" s="2" customFormat="1" ht="35.25" customHeight="1">
      <c r="A131" s="17" t="s">
        <v>70</v>
      </c>
      <c r="B131" s="80">
        <v>76.3</v>
      </c>
      <c r="C131" s="60">
        <f>171.5+14.8-110</f>
        <v>76.30000000000001</v>
      </c>
      <c r="D131" s="83">
        <f>5.6+5.6+3.5+1.3+1.8+0.1+2.5+14.8+2.8-0.1</f>
        <v>37.9</v>
      </c>
      <c r="E131" s="19">
        <f>D131/D106*100</f>
        <v>0.023394816227237124</v>
      </c>
      <c r="F131" s="6">
        <f t="shared" si="15"/>
        <v>49.67234600262123</v>
      </c>
      <c r="G131" s="6">
        <f t="shared" si="12"/>
        <v>49.67234600262122</v>
      </c>
      <c r="H131" s="6">
        <f t="shared" si="16"/>
        <v>38.4</v>
      </c>
      <c r="I131" s="6">
        <f t="shared" si="14"/>
        <v>38.40000000000001</v>
      </c>
    </row>
    <row r="132" spans="1:9" s="2" customFormat="1" ht="35.25" customHeight="1">
      <c r="A132" s="17" t="s">
        <v>72</v>
      </c>
      <c r="B132" s="80">
        <v>110</v>
      </c>
      <c r="C132" s="60">
        <v>220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110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>
        <v>70</v>
      </c>
      <c r="C133" s="60">
        <f>50+20</f>
        <v>70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70</v>
      </c>
      <c r="I133" s="6">
        <f t="shared" si="14"/>
        <v>70</v>
      </c>
    </row>
    <row r="134" spans="1:9" s="2" customFormat="1" ht="35.25" customHeight="1">
      <c r="A134" s="17" t="s">
        <v>117</v>
      </c>
      <c r="B134" s="80">
        <v>2042.1</v>
      </c>
      <c r="C134" s="60">
        <v>3882.1</v>
      </c>
      <c r="D134" s="83">
        <f>202.1+87.7</f>
        <v>289.8</v>
      </c>
      <c r="E134" s="19">
        <f>D134/D106*100</f>
        <v>0.1788870116795071</v>
      </c>
      <c r="F134" s="6">
        <f t="shared" si="15"/>
        <v>14.191273688849716</v>
      </c>
      <c r="G134" s="6">
        <f t="shared" si="12"/>
        <v>7.4650318126787045</v>
      </c>
      <c r="H134" s="6">
        <f t="shared" si="16"/>
        <v>1752.3</v>
      </c>
      <c r="I134" s="6">
        <f t="shared" si="14"/>
        <v>3592.2999999999997</v>
      </c>
    </row>
    <row r="135" spans="1:9" s="2" customFormat="1" ht="37.5">
      <c r="A135" s="17" t="s">
        <v>108</v>
      </c>
      <c r="B135" s="80">
        <v>304.3</v>
      </c>
      <c r="C135" s="60">
        <f>265.1+39.2</f>
        <v>304.3</v>
      </c>
      <c r="D135" s="83">
        <f>59.9+7.6+10.7+6.3+5.3+38.1+4+0.1+1.7+3.6+39.2+1.5+0.1+12.4+0.1+5.1+12+1.3+0.1+10.3+1.4</f>
        <v>220.8</v>
      </c>
      <c r="E135" s="19">
        <f>D135/D106*100</f>
        <v>0.1362948660415292</v>
      </c>
      <c r="F135" s="6">
        <f t="shared" si="15"/>
        <v>72.55997371015445</v>
      </c>
      <c r="G135" s="6">
        <f>D135/C135*100</f>
        <v>72.55997371015445</v>
      </c>
      <c r="H135" s="6">
        <f t="shared" si="16"/>
        <v>83.5</v>
      </c>
      <c r="I135" s="6">
        <f t="shared" si="14"/>
        <v>83.5</v>
      </c>
    </row>
    <row r="136" spans="1:9" s="39" customFormat="1" ht="18">
      <c r="A136" s="29" t="s">
        <v>32</v>
      </c>
      <c r="B136" s="81">
        <v>94.2</v>
      </c>
      <c r="C136" s="51">
        <f>64.2+30</f>
        <v>94.2</v>
      </c>
      <c r="D136" s="82">
        <f>7.6+0.3+4.8+38.1+4+0.1+0.1+0.1+8.5+0.1+12+0.1+6.3+0.1</f>
        <v>82.19999999999999</v>
      </c>
      <c r="E136" s="1">
        <f>D136/D135*100</f>
        <v>37.22826086956521</v>
      </c>
      <c r="F136" s="1">
        <f t="shared" si="15"/>
        <v>87.26114649681527</v>
      </c>
      <c r="G136" s="1">
        <f>D136/C136*100</f>
        <v>87.26114649681527</v>
      </c>
      <c r="H136" s="1">
        <f t="shared" si="16"/>
        <v>12.000000000000014</v>
      </c>
      <c r="I136" s="1">
        <f t="shared" si="14"/>
        <v>12.000000000000014</v>
      </c>
    </row>
    <row r="137" spans="1:9" s="2" customFormat="1" ht="18.75">
      <c r="A137" s="17" t="s">
        <v>31</v>
      </c>
      <c r="B137" s="80">
        <v>942.7</v>
      </c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21.9+41.8+0.1+6.1+26+3.6+0.1+41-0.1+21.3+6.2+7.1+43.4+4.5+8.8+48.5+7.5+32.1+0.1+41.9+8.4+5.1+33.1+1.3+25.6+4.3+48.8+5.3+25.6+1.9+53.3-0.1+30.8+0.1+48.5+0.4+47.7+43.1+43.2+7.9+7.9+36.6</f>
        <v>840.7</v>
      </c>
      <c r="E137" s="19">
        <f>D137/D106*100</f>
        <v>0.5189451715630146</v>
      </c>
      <c r="F137" s="6">
        <f t="shared" si="15"/>
        <v>89.18001485096</v>
      </c>
      <c r="G137" s="6">
        <f t="shared" si="12"/>
        <v>80.72011521843496</v>
      </c>
      <c r="H137" s="6">
        <f t="shared" si="16"/>
        <v>102</v>
      </c>
      <c r="I137" s="6">
        <f t="shared" si="14"/>
        <v>200.79999999999995</v>
      </c>
    </row>
    <row r="138" spans="1:9" s="39" customFormat="1" ht="18">
      <c r="A138" s="40" t="s">
        <v>53</v>
      </c>
      <c r="B138" s="81">
        <v>815.6</v>
      </c>
      <c r="C138" s="51">
        <f>848.7+46.3</f>
        <v>895</v>
      </c>
      <c r="D138" s="82">
        <f>21.9+39.7+0.1+6.1+19+41-0.1+21.3+43.3+8.5+32.3+32.1+41.5+4.2+33.1+25.6+47+0.1+25.6+53.3+26.2+48.5+0.4+43.2+40.8+42.8+4+33.5</f>
        <v>735.0000000000001</v>
      </c>
      <c r="E138" s="1">
        <f>D138/D137*100</f>
        <v>87.42714404662782</v>
      </c>
      <c r="F138" s="1">
        <f aca="true" t="shared" si="17" ref="F138:F146">D138/B138*100</f>
        <v>90.11770475723395</v>
      </c>
      <c r="G138" s="1">
        <f t="shared" si="12"/>
        <v>82.12290502793297</v>
      </c>
      <c r="H138" s="1">
        <f t="shared" si="16"/>
        <v>80.59999999999991</v>
      </c>
      <c r="I138" s="1">
        <f t="shared" si="14"/>
        <v>159.9999999999999</v>
      </c>
    </row>
    <row r="139" spans="1:9" s="39" customFormat="1" ht="18">
      <c r="A139" s="29" t="s">
        <v>32</v>
      </c>
      <c r="B139" s="81">
        <v>29.5</v>
      </c>
      <c r="C139" s="51">
        <f>26.3+9.5</f>
        <v>35.8</v>
      </c>
      <c r="D139" s="82">
        <f>7+6+0.2+7.1+0.1+0.4+0.3+0.1+0.3+0.4+0.3+0.3</f>
        <v>22.5</v>
      </c>
      <c r="E139" s="1">
        <f>D139/D137*100</f>
        <v>2.6763411442845246</v>
      </c>
      <c r="F139" s="1">
        <f t="shared" si="17"/>
        <v>76.27118644067797</v>
      </c>
      <c r="G139" s="1">
        <f>D139/C139*100</f>
        <v>62.849162011173185</v>
      </c>
      <c r="H139" s="1">
        <f t="shared" si="16"/>
        <v>7</v>
      </c>
      <c r="I139" s="1">
        <f t="shared" si="14"/>
        <v>13.299999999999997</v>
      </c>
    </row>
    <row r="140" spans="1:9" s="2" customFormat="1" ht="56.25">
      <c r="A140" s="23" t="s">
        <v>113</v>
      </c>
      <c r="B140" s="80">
        <v>200</v>
      </c>
      <c r="C140" s="60">
        <v>200</v>
      </c>
      <c r="D140" s="83">
        <v>200</v>
      </c>
      <c r="E140" s="19">
        <f>D140/D106*100</f>
        <v>0.12345549460283443</v>
      </c>
      <c r="F140" s="111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</row>
    <row r="141" spans="1:9" s="2" customFormat="1" ht="18.75">
      <c r="A141" s="23" t="s">
        <v>115</v>
      </c>
      <c r="B141" s="80">
        <v>2727</v>
      </c>
      <c r="C141" s="60">
        <f>427+1500+800</f>
        <v>2727</v>
      </c>
      <c r="D141" s="83">
        <f>1000+463.5+800</f>
        <v>2263.5</v>
      </c>
      <c r="E141" s="19">
        <f>D141/D106*100</f>
        <v>1.3972075601675786</v>
      </c>
      <c r="F141" s="111">
        <f>D141/B141*100</f>
        <v>83.003300330033</v>
      </c>
      <c r="G141" s="6">
        <f t="shared" si="12"/>
        <v>83.003300330033</v>
      </c>
      <c r="H141" s="6">
        <f t="shared" si="16"/>
        <v>463.5</v>
      </c>
      <c r="I141" s="6">
        <f t="shared" si="14"/>
        <v>463.5</v>
      </c>
    </row>
    <row r="142" spans="1:9" s="2" customFormat="1" ht="18.75">
      <c r="A142" s="23" t="s">
        <v>110</v>
      </c>
      <c r="B142" s="80">
        <v>14900</v>
      </c>
      <c r="C142" s="60">
        <f>6500-2076-424+9200+2300</f>
        <v>15500</v>
      </c>
      <c r="D142" s="83">
        <f>241.3+64.6+48.1+278.9+170.1+140.9+637.5+150.9+370.2+164.6+344.6+242.4+441.1+0.1+89.8+381.7+177.1+247.5+73.1+327.9+377.9+42.9+540.2+305.5+89.5+547.4+109.3+203.4+257.6</f>
        <v>7066.0999999999985</v>
      </c>
      <c r="E142" s="19">
        <f>D142/D106*100</f>
        <v>4.361744352065441</v>
      </c>
      <c r="F142" s="111">
        <f t="shared" si="17"/>
        <v>47.4234899328859</v>
      </c>
      <c r="G142" s="6">
        <f t="shared" si="12"/>
        <v>45.58774193548386</v>
      </c>
      <c r="H142" s="6">
        <f t="shared" si="16"/>
        <v>7833.9000000000015</v>
      </c>
      <c r="I142" s="6">
        <f t="shared" si="14"/>
        <v>8433.900000000001</v>
      </c>
    </row>
    <row r="143" spans="1:9" s="2" customFormat="1" ht="18.75">
      <c r="A143" s="23" t="s">
        <v>111</v>
      </c>
      <c r="B143" s="80">
        <v>5142.9</v>
      </c>
      <c r="C143" s="60">
        <f>6082.6-959.5+20</f>
        <v>5143.1</v>
      </c>
      <c r="D143" s="83">
        <f>626.1+43.8+40.3+236+112.9+11.4-0.1+68.6+570.3+22.4+44.4+39.9+585.7+199.1+14+103.1+2.3+286.9+158.5+66.9+234.3+82.1+59.7+189.8+90.4+340.8</f>
        <v>4229.6</v>
      </c>
      <c r="E143" s="19">
        <f>D143/D106*100</f>
        <v>2.6108367998607425</v>
      </c>
      <c r="F143" s="111">
        <f t="shared" si="17"/>
        <v>82.2415368760816</v>
      </c>
      <c r="G143" s="6">
        <f t="shared" si="12"/>
        <v>82.23833874511482</v>
      </c>
      <c r="H143" s="6">
        <f t="shared" si="16"/>
        <v>913.2999999999993</v>
      </c>
      <c r="I143" s="6">
        <f t="shared" si="14"/>
        <v>913.5</v>
      </c>
    </row>
    <row r="144" spans="1:9" s="2" customFormat="1" ht="18.75">
      <c r="A144" s="17" t="s">
        <v>114</v>
      </c>
      <c r="B144" s="80">
        <v>8376</v>
      </c>
      <c r="C144" s="60">
        <v>8376</v>
      </c>
      <c r="D144" s="83">
        <f>2094+2094+2094</f>
        <v>6282</v>
      </c>
      <c r="E144" s="19">
        <f>D144/D106*100</f>
        <v>3.8777370854750295</v>
      </c>
      <c r="F144" s="111">
        <f t="shared" si="17"/>
        <v>75</v>
      </c>
      <c r="G144" s="6">
        <f t="shared" si="12"/>
        <v>75</v>
      </c>
      <c r="H144" s="6">
        <f t="shared" si="16"/>
        <v>2094</v>
      </c>
      <c r="I144" s="6">
        <f t="shared" si="14"/>
        <v>2094</v>
      </c>
    </row>
    <row r="145" spans="1:12" s="2" customFormat="1" ht="18.75" customHeight="1">
      <c r="A145" s="17" t="s">
        <v>98</v>
      </c>
      <c r="B145" s="80">
        <v>538.2</v>
      </c>
      <c r="C145" s="60">
        <v>538.2</v>
      </c>
      <c r="D145" s="83">
        <f>507.8+15.4+15</f>
        <v>538.2</v>
      </c>
      <c r="E145" s="19">
        <f>D145/D106*100</f>
        <v>0.3322187359762275</v>
      </c>
      <c r="F145" s="111">
        <f t="shared" si="17"/>
        <v>100</v>
      </c>
      <c r="G145" s="6">
        <f t="shared" si="12"/>
        <v>100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>
        <f>103486.4+8580+999.5</f>
        <v>113065.9</v>
      </c>
      <c r="C146" s="60">
        <f>91632.1+2530-27+23.1+959.5+13590.1-3797.9+8580</f>
        <v>113489.90000000002</v>
      </c>
      <c r="D146" s="83">
        <f>500.9+20883.8+13804+7506.8+2189.4+1247.6+18786.6+13748.5+10000+5000+2324.4+7494.4+700+880+366.4+133+650+1431+4419.6+999.5</f>
        <v>113065.9</v>
      </c>
      <c r="E146" s="19">
        <f>D146/D106*100</f>
        <v>69.79303303607308</v>
      </c>
      <c r="F146" s="6">
        <f t="shared" si="17"/>
        <v>100</v>
      </c>
      <c r="G146" s="6">
        <f t="shared" si="12"/>
        <v>99.62639847246317</v>
      </c>
      <c r="H146" s="6">
        <f t="shared" si="16"/>
        <v>0</v>
      </c>
      <c r="I146" s="6">
        <f t="shared" si="14"/>
        <v>424.0000000000291</v>
      </c>
      <c r="K146" s="103"/>
      <c r="L146" s="45"/>
    </row>
    <row r="147" spans="1:12" s="2" customFormat="1" ht="18.75">
      <c r="A147" s="17" t="s">
        <v>112</v>
      </c>
      <c r="B147" s="80">
        <v>20408.2</v>
      </c>
      <c r="C147" s="60">
        <v>22263.4</v>
      </c>
      <c r="D147" s="83">
        <f>1236.9+618.4+618.4+618.4+618.5+618.4+618.4+618.5+618.4+618.4+618.5+618.4+618.4+618.5+618.4+618.4+618.5+618.4+618.4+618.5+618.4+618.4+618.4+618.5+618.4+618.5+618.4+618.4+618.5</f>
        <v>18553</v>
      </c>
      <c r="E147" s="19">
        <f>D147/D106*100</f>
        <v>11.452348956831935</v>
      </c>
      <c r="F147" s="6">
        <f t="shared" si="15"/>
        <v>90.90953636283454</v>
      </c>
      <c r="G147" s="6">
        <f t="shared" si="12"/>
        <v>83.33408194615377</v>
      </c>
      <c r="H147" s="6">
        <f t="shared" si="16"/>
        <v>1855.2000000000007</v>
      </c>
      <c r="I147" s="6">
        <f t="shared" si="14"/>
        <v>3710.4000000000015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192079.79999999996</v>
      </c>
      <c r="C148" s="84">
        <f>C43+C68+C71+C76+C78+C86+C101+C106+C99+C83+C97</f>
        <v>198795.5</v>
      </c>
      <c r="D148" s="60">
        <f>D43+D68+D71+D76+D78+D86+D101+D106+D99+D83+D97</f>
        <v>168875.80699999997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912723.7999999999</v>
      </c>
      <c r="C149" s="54">
        <f>C6+C18+C33+C43+C51+C58+C68+C71+C76+C78+C86+C89+C94+C101+C106+C99+C83+C97+C45</f>
        <v>986451.6</v>
      </c>
      <c r="D149" s="54">
        <f>D6+D18+D33+D43+D51+D58+D68+D71+D76+D78+D86+D89+D94+D101+D106+D99+D83+D97+D45</f>
        <v>787197.407</v>
      </c>
      <c r="E149" s="38">
        <v>100</v>
      </c>
      <c r="F149" s="3">
        <f>D149/B149*100</f>
        <v>86.24705600971511</v>
      </c>
      <c r="G149" s="3">
        <f aca="true" t="shared" si="18" ref="G149:G155">D149/C149*100</f>
        <v>79.80091542251034</v>
      </c>
      <c r="H149" s="3">
        <f aca="true" t="shared" si="19" ref="H149:H155">B149-D149</f>
        <v>125526.39299999992</v>
      </c>
      <c r="I149" s="3">
        <f aca="true" t="shared" si="20" ref="I149:I155">C149-D149</f>
        <v>199254.19299999997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509961.4</v>
      </c>
      <c r="C150" s="67">
        <f>C8+C20+C34+C52+C59+C90+C114+C118+C46+C138+C130</f>
        <v>558420.6</v>
      </c>
      <c r="D150" s="67">
        <f>D8+D20+D34+D52+D59+D90+D114+D118+D46+D138+D130</f>
        <v>450737.0999999999</v>
      </c>
      <c r="E150" s="6">
        <f>D150/D149*100</f>
        <v>57.2584584237585</v>
      </c>
      <c r="F150" s="6">
        <f aca="true" t="shared" si="21" ref="F150:F161">D150/B150*100</f>
        <v>88.3865131753109</v>
      </c>
      <c r="G150" s="6">
        <f t="shared" si="18"/>
        <v>80.71641698031912</v>
      </c>
      <c r="H150" s="6">
        <f t="shared" si="19"/>
        <v>59224.300000000105</v>
      </c>
      <c r="I150" s="18">
        <f t="shared" si="20"/>
        <v>107683.50000000006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89167.8</v>
      </c>
      <c r="C151" s="68">
        <f>C11+C23+C36+C55+C61+C91+C49+C139+C108+C111+C95+C136</f>
        <v>99878</v>
      </c>
      <c r="D151" s="68">
        <f>D11+D23+D36+D55+D61+D91+D49+D139+D108+D111+D95+D136</f>
        <v>62357.8</v>
      </c>
      <c r="E151" s="6">
        <f>D151/D149*100</f>
        <v>7.921494588967821</v>
      </c>
      <c r="F151" s="6">
        <f t="shared" si="21"/>
        <v>69.9330924391989</v>
      </c>
      <c r="G151" s="6">
        <f t="shared" si="18"/>
        <v>62.43396944272012</v>
      </c>
      <c r="H151" s="6">
        <f t="shared" si="19"/>
        <v>26810</v>
      </c>
      <c r="I151" s="18">
        <f t="shared" si="20"/>
        <v>37520.2</v>
      </c>
      <c r="K151" s="46"/>
      <c r="L151" s="102"/>
    </row>
    <row r="152" spans="1:12" ht="18.75">
      <c r="A152" s="23" t="s">
        <v>1</v>
      </c>
      <c r="B152" s="67">
        <f>B22+B10+B54+B48+B60+B35+B102+B122</f>
        <v>23417.000000000004</v>
      </c>
      <c r="C152" s="67">
        <f>C22+C10+C54+C48+C60+C35+C102+C122</f>
        <v>25986.7</v>
      </c>
      <c r="D152" s="67">
        <f>D22+D10+D54+D48+D60+D35+D102+D122</f>
        <v>18963.100000000002</v>
      </c>
      <c r="E152" s="6">
        <f>D152/D149*100</f>
        <v>2.408938321109079</v>
      </c>
      <c r="F152" s="6">
        <f t="shared" si="21"/>
        <v>80.98005722338472</v>
      </c>
      <c r="G152" s="6">
        <f t="shared" si="18"/>
        <v>72.972328152478</v>
      </c>
      <c r="H152" s="6">
        <f t="shared" si="19"/>
        <v>4453.9000000000015</v>
      </c>
      <c r="I152" s="18">
        <f t="shared" si="20"/>
        <v>7023.5999999999985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13850.500000000002</v>
      </c>
      <c r="C153" s="67">
        <f>C12+C24+C103+C62+C38+C92+C128</f>
        <v>14991.800000000001</v>
      </c>
      <c r="D153" s="67">
        <f>D12+D24+D103+D62+D38+D92+D128</f>
        <v>10479.999999999998</v>
      </c>
      <c r="E153" s="6">
        <f>D153/D149*100</f>
        <v>1.331305198265217</v>
      </c>
      <c r="F153" s="6">
        <f t="shared" si="21"/>
        <v>75.66513844265548</v>
      </c>
      <c r="G153" s="6">
        <f t="shared" si="18"/>
        <v>69.90488133512986</v>
      </c>
      <c r="H153" s="6">
        <f t="shared" si="19"/>
        <v>3370.5000000000036</v>
      </c>
      <c r="I153" s="18">
        <f t="shared" si="20"/>
        <v>4511.800000000003</v>
      </c>
      <c r="K153" s="46"/>
      <c r="L153" s="102"/>
    </row>
    <row r="154" spans="1:12" ht="18.75">
      <c r="A154" s="23" t="s">
        <v>2</v>
      </c>
      <c r="B154" s="67">
        <f>B9+B21+B47+B53+B121</f>
        <v>12322.1</v>
      </c>
      <c r="C154" s="67">
        <f>C9+C21+C47+C53+C121</f>
        <v>13384.7</v>
      </c>
      <c r="D154" s="67">
        <f>D9+D21+D47+D53+D121</f>
        <v>9543.8</v>
      </c>
      <c r="E154" s="6">
        <f>D154/D149*100</f>
        <v>1.212376960992708</v>
      </c>
      <c r="F154" s="6">
        <f t="shared" si="21"/>
        <v>77.45270692495596</v>
      </c>
      <c r="G154" s="6">
        <f t="shared" si="18"/>
        <v>71.3038021024005</v>
      </c>
      <c r="H154" s="6">
        <f t="shared" si="19"/>
        <v>2778.300000000001</v>
      </c>
      <c r="I154" s="18">
        <f t="shared" si="20"/>
        <v>3840.9000000000015</v>
      </c>
      <c r="K154" s="46"/>
      <c r="L154" s="47"/>
    </row>
    <row r="155" spans="1:12" ht="19.5" thickBot="1">
      <c r="A155" s="23" t="s">
        <v>34</v>
      </c>
      <c r="B155" s="67">
        <f>B149-B150-B151-B152-B153-B154</f>
        <v>264004.99999999994</v>
      </c>
      <c r="C155" s="67">
        <f>C149-C150-C151-C152-C153-C154</f>
        <v>273789.8</v>
      </c>
      <c r="D155" s="67">
        <f>D149-D150-D151-D152-D153-D154</f>
        <v>235115.6070000001</v>
      </c>
      <c r="E155" s="6">
        <f>D155/D149*100</f>
        <v>29.867426506906686</v>
      </c>
      <c r="F155" s="6">
        <f t="shared" si="21"/>
        <v>89.05725535501227</v>
      </c>
      <c r="G155" s="43">
        <f t="shared" si="18"/>
        <v>85.87449459402802</v>
      </c>
      <c r="H155" s="6">
        <f t="shared" si="19"/>
        <v>28889.392999999836</v>
      </c>
      <c r="I155" s="6">
        <f t="shared" si="20"/>
        <v>38674.19299999988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>
        <v>25582.4</v>
      </c>
      <c r="C157" s="73">
        <f>3301.9+496+14356.4+1358.1+6215.8</f>
        <v>25728.199999999997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+14.4+133+174.2+101.5+34.4-0.2+75.1+60.4+154.3+135.1</f>
        <v>11399.599999999995</v>
      </c>
      <c r="E157" s="15"/>
      <c r="F157" s="6">
        <f t="shared" si="21"/>
        <v>44.560322721871266</v>
      </c>
      <c r="G157" s="6">
        <f aca="true" t="shared" si="22" ref="G157:G166">D157/C157*100</f>
        <v>44.30780233362612</v>
      </c>
      <c r="H157" s="6">
        <f>B157-D157</f>
        <v>14182.800000000007</v>
      </c>
      <c r="I157" s="6">
        <f aca="true" t="shared" si="23" ref="I157:I166">C157-D157</f>
        <v>14328.600000000002</v>
      </c>
      <c r="K157" s="46"/>
      <c r="L157" s="46"/>
    </row>
    <row r="158" spans="1:12" ht="18.75">
      <c r="A158" s="23" t="s">
        <v>22</v>
      </c>
      <c r="B158" s="88">
        <v>17318.9</v>
      </c>
      <c r="C158" s="67">
        <f>16860.5-195+353.2+846+1272.3</f>
        <v>19137</v>
      </c>
      <c r="D158" s="67">
        <f>132.1+649.5+498.6+2.9+146.5+119.3+11.1+935+701.6+2.9+12.3-0.1+18.6+43.3+39.7+94+282.1+33.2+9+121.6+250.9+78.8+80+13.6+23.8+457.4+36+8.5+326.3+22.2+795.3+172.7+29.4+49.6+1021.9-0.1+17.1+3.9</f>
        <v>7240.499999999999</v>
      </c>
      <c r="E158" s="6"/>
      <c r="F158" s="6">
        <f t="shared" si="21"/>
        <v>41.80692769171252</v>
      </c>
      <c r="G158" s="6">
        <f t="shared" si="22"/>
        <v>37.83508386894497</v>
      </c>
      <c r="H158" s="6">
        <f aca="true" t="shared" si="24" ref="H158:H165">B158-D158</f>
        <v>10078.400000000001</v>
      </c>
      <c r="I158" s="6">
        <f t="shared" si="23"/>
        <v>11896.5</v>
      </c>
      <c r="K158" s="46"/>
      <c r="L158" s="46"/>
    </row>
    <row r="159" spans="1:12" ht="18.75">
      <c r="A159" s="23" t="s">
        <v>60</v>
      </c>
      <c r="B159" s="88">
        <v>205705.8</v>
      </c>
      <c r="C159" s="67">
        <f>213607.5+29882.9-2140-37856.7-150+7307.7-1151.4</f>
        <v>209500.00000000003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+1263.6+1105+17+9612+1630.6+1295.7+97.4+1740.2+976.9+669.4+369.4-18.9-54.7+2284.3+265.7+3428.4+1346.8-5.1</f>
        <v>79465.7</v>
      </c>
      <c r="E159" s="6"/>
      <c r="F159" s="6">
        <f t="shared" si="21"/>
        <v>38.63075324079341</v>
      </c>
      <c r="G159" s="6">
        <f t="shared" si="22"/>
        <v>37.93112171837708</v>
      </c>
      <c r="H159" s="6">
        <f t="shared" si="24"/>
        <v>126240.09999999999</v>
      </c>
      <c r="I159" s="6">
        <f t="shared" si="23"/>
        <v>130034.30000000003</v>
      </c>
      <c r="K159" s="46"/>
      <c r="L159" s="46"/>
    </row>
    <row r="160" spans="1:12" ht="37.5">
      <c r="A160" s="23" t="s">
        <v>69</v>
      </c>
      <c r="B160" s="88">
        <v>2649.4</v>
      </c>
      <c r="C160" s="67">
        <f>509.4+2140</f>
        <v>2649.4</v>
      </c>
      <c r="D160" s="67">
        <f>309.4+300+1220.5+619.5</f>
        <v>2449.4</v>
      </c>
      <c r="E160" s="6"/>
      <c r="F160" s="6">
        <f t="shared" si="21"/>
        <v>92.45112100853024</v>
      </c>
      <c r="G160" s="6">
        <f t="shared" si="22"/>
        <v>92.45112100853024</v>
      </c>
      <c r="H160" s="6">
        <f t="shared" si="24"/>
        <v>200</v>
      </c>
      <c r="I160" s="6">
        <f t="shared" si="23"/>
        <v>200</v>
      </c>
      <c r="K160" s="46"/>
      <c r="L160" s="46"/>
    </row>
    <row r="161" spans="1:12" ht="18.75">
      <c r="A161" s="23" t="s">
        <v>13</v>
      </c>
      <c r="B161" s="88">
        <v>13572.4</v>
      </c>
      <c r="C161" s="67">
        <f>54+13623.4</f>
        <v>13677.4</v>
      </c>
      <c r="D161" s="67">
        <f>5.2+5.1+225.1+114.9+40.2+5.2+4.6+89.9+13.6+4.1+10.7+98.5+1634+39+1.7-40.2+1.3+4.6+3.7+91+4.8+917.9+24.9+175.1+0.1+299.7</f>
        <v>3774.7000000000003</v>
      </c>
      <c r="E161" s="19"/>
      <c r="F161" s="6">
        <f t="shared" si="21"/>
        <v>27.81158822315877</v>
      </c>
      <c r="G161" s="6">
        <f t="shared" si="22"/>
        <v>27.59808150671912</v>
      </c>
      <c r="H161" s="6">
        <f t="shared" si="24"/>
        <v>9797.699999999999</v>
      </c>
      <c r="I161" s="6">
        <f t="shared" si="23"/>
        <v>9902.699999999999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>
        <v>1247.9</v>
      </c>
      <c r="C163" s="67">
        <f>1212+158.6</f>
        <v>1370.6</v>
      </c>
      <c r="D163" s="67">
        <f>15.4+25.9+416.9+18.7+17.6</f>
        <v>494.5</v>
      </c>
      <c r="E163" s="19"/>
      <c r="F163" s="6">
        <f>D163/B163*100</f>
        <v>39.626572642038624</v>
      </c>
      <c r="G163" s="6">
        <f t="shared" si="22"/>
        <v>36.079089449875966</v>
      </c>
      <c r="H163" s="6">
        <f t="shared" si="24"/>
        <v>753.4000000000001</v>
      </c>
      <c r="I163" s="6">
        <f t="shared" si="23"/>
        <v>876.0999999999999</v>
      </c>
    </row>
    <row r="164" spans="1:9" ht="19.5" customHeight="1">
      <c r="A164" s="23" t="s">
        <v>67</v>
      </c>
      <c r="B164" s="88">
        <v>307.6</v>
      </c>
      <c r="C164" s="67">
        <v>307.6</v>
      </c>
      <c r="D164" s="67"/>
      <c r="E164" s="19"/>
      <c r="F164" s="6">
        <f>D164/B164*100</f>
        <v>0</v>
      </c>
      <c r="G164" s="6">
        <f t="shared" si="22"/>
        <v>0</v>
      </c>
      <c r="H164" s="6">
        <f t="shared" si="24"/>
        <v>307.6</v>
      </c>
      <c r="I164" s="6">
        <f t="shared" si="23"/>
        <v>307.6</v>
      </c>
    </row>
    <row r="165" spans="1:9" ht="19.5" thickBot="1">
      <c r="A165" s="23" t="s">
        <v>61</v>
      </c>
      <c r="B165" s="88">
        <v>3718.8</v>
      </c>
      <c r="C165" s="89">
        <v>3718.8</v>
      </c>
      <c r="D165" s="89">
        <f>98.8+11.3+146.1+110.9-0.1+10.1+85.3+20.5+418+104.6+257.6+46.9+315.7+1.5+1.4+47.1+128.3+440+24.2+62.6+0.1+90.4+1.3+111.4+230.8+4.4+180+41.1+64.6+325+59.2</f>
        <v>3439.1</v>
      </c>
      <c r="E165" s="24"/>
      <c r="F165" s="6">
        <f>D165/B165*100</f>
        <v>92.47875658814671</v>
      </c>
      <c r="G165" s="6">
        <f t="shared" si="22"/>
        <v>92.47875658814671</v>
      </c>
      <c r="H165" s="6">
        <f t="shared" si="24"/>
        <v>279.7000000000003</v>
      </c>
      <c r="I165" s="6">
        <f t="shared" si="23"/>
        <v>279.7000000000003</v>
      </c>
    </row>
    <row r="166" spans="1:9" ht="19.5" thickBot="1">
      <c r="A166" s="14" t="s">
        <v>20</v>
      </c>
      <c r="B166" s="90">
        <f>B149+B157+B161+B162+B158+B165+B164+B159+B163+B160</f>
        <v>1182826.9999999998</v>
      </c>
      <c r="C166" s="90">
        <f>C149+C157+C161+C162+C158+C165+C164+C159+C163+C160</f>
        <v>1262540.6</v>
      </c>
      <c r="D166" s="90">
        <f>D149+D157+D161+D162+D158+D165+D164+D159+D163+D160</f>
        <v>895460.9069999999</v>
      </c>
      <c r="E166" s="25"/>
      <c r="F166" s="3">
        <f>D166/B166*100</f>
        <v>75.70514597654604</v>
      </c>
      <c r="G166" s="3">
        <f t="shared" si="22"/>
        <v>70.92531574826187</v>
      </c>
      <c r="H166" s="3">
        <f>B166-D166</f>
        <v>287366.0929999999</v>
      </c>
      <c r="I166" s="3">
        <f t="shared" si="23"/>
        <v>367079.6930000002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787197.407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5" sqref="R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787197.407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2015-10-30T12:48:24Z</cp:lastPrinted>
  <dcterms:created xsi:type="dcterms:W3CDTF">2000-06-20T04:48:00Z</dcterms:created>
  <dcterms:modified xsi:type="dcterms:W3CDTF">2015-11-06T06:08:32Z</dcterms:modified>
  <cp:category/>
  <cp:version/>
  <cp:contentType/>
  <cp:contentStatus/>
</cp:coreProperties>
</file>